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im pays prod 2013"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1394" i="1"/>
  <c r="B11394" i="1"/>
  <c r="A16" i="1"/>
  <c r="B16" i="1"/>
  <c r="A17" i="1"/>
  <c r="B17" i="1"/>
  <c r="A18" i="1"/>
  <c r="B18" i="1"/>
  <c r="A19" i="1"/>
  <c r="B19" i="1"/>
  <c r="A20" i="1"/>
  <c r="B20" i="1"/>
  <c r="A21" i="1"/>
  <c r="B21" i="1"/>
  <c r="A22" i="1"/>
  <c r="B22" i="1"/>
  <c r="A23" i="1"/>
  <c r="B23" i="1"/>
  <c r="A24" i="1"/>
  <c r="B24" i="1"/>
  <c r="A25" i="1"/>
  <c r="B25" i="1"/>
  <c r="A26" i="1"/>
  <c r="A27" i="1"/>
  <c r="A28" i="1"/>
  <c r="B28" i="1"/>
  <c r="A29" i="1"/>
  <c r="B29" i="1"/>
  <c r="A30" i="1"/>
  <c r="B30" i="1"/>
  <c r="A31" i="1"/>
  <c r="B31" i="1"/>
  <c r="A32" i="1"/>
  <c r="B32" i="1"/>
  <c r="A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A54" i="1"/>
  <c r="B54" i="1"/>
  <c r="A55" i="1"/>
  <c r="B55" i="1"/>
  <c r="A56" i="1"/>
  <c r="A57" i="1"/>
  <c r="A58" i="1"/>
  <c r="B58" i="1"/>
  <c r="A59" i="1"/>
  <c r="B59" i="1"/>
  <c r="A60" i="1"/>
  <c r="B60" i="1"/>
  <c r="A61" i="1"/>
  <c r="B61" i="1"/>
  <c r="A62" i="1"/>
  <c r="B62" i="1"/>
  <c r="A63" i="1"/>
  <c r="B63" i="1"/>
  <c r="A64" i="1"/>
  <c r="B64" i="1"/>
  <c r="A65" i="1"/>
  <c r="A66" i="1"/>
  <c r="B66" i="1"/>
  <c r="A67" i="1"/>
  <c r="B67" i="1"/>
  <c r="A68" i="1"/>
  <c r="B68" i="1"/>
  <c r="A69" i="1"/>
  <c r="A70" i="1"/>
  <c r="B70" i="1"/>
  <c r="A71" i="1"/>
  <c r="B71" i="1"/>
  <c r="A72" i="1"/>
  <c r="B72" i="1"/>
  <c r="A73" i="1"/>
  <c r="A74" i="1"/>
  <c r="A75" i="1"/>
  <c r="A76" i="1"/>
  <c r="A77" i="1"/>
  <c r="B77" i="1"/>
  <c r="A78" i="1"/>
  <c r="A79" i="1"/>
  <c r="B79" i="1"/>
  <c r="A80" i="1"/>
  <c r="A81" i="1"/>
  <c r="B81" i="1"/>
  <c r="A82" i="1"/>
  <c r="B82" i="1"/>
  <c r="A83" i="1"/>
  <c r="B83" i="1"/>
  <c r="A84" i="1"/>
  <c r="B84" i="1"/>
  <c r="A85" i="1"/>
  <c r="B85" i="1"/>
  <c r="A86" i="1"/>
  <c r="B86" i="1"/>
  <c r="A87" i="1"/>
  <c r="B87" i="1"/>
  <c r="A88" i="1"/>
  <c r="B88" i="1"/>
  <c r="A89" i="1"/>
  <c r="B89" i="1"/>
  <c r="A90" i="1"/>
  <c r="B90" i="1"/>
  <c r="A91" i="1"/>
  <c r="B91" i="1"/>
  <c r="A92" i="1"/>
  <c r="B92" i="1"/>
  <c r="A93" i="1"/>
  <c r="A94" i="1"/>
  <c r="B94" i="1"/>
  <c r="A95" i="1"/>
  <c r="A96" i="1"/>
  <c r="A97" i="1"/>
  <c r="A98" i="1"/>
  <c r="B98" i="1"/>
  <c r="A99" i="1"/>
  <c r="B99" i="1"/>
  <c r="A100" i="1"/>
  <c r="A101" i="1"/>
  <c r="A102" i="1"/>
  <c r="A103" i="1"/>
  <c r="A104" i="1"/>
  <c r="B104" i="1"/>
  <c r="A105" i="1"/>
  <c r="B105" i="1"/>
  <c r="A106" i="1"/>
  <c r="B106" i="1"/>
  <c r="A107" i="1"/>
  <c r="B107" i="1"/>
  <c r="A108" i="1"/>
  <c r="B108" i="1"/>
  <c r="A109" i="1"/>
  <c r="B109" i="1"/>
  <c r="A110" i="1"/>
  <c r="A111" i="1"/>
  <c r="B111" i="1"/>
  <c r="A112" i="1"/>
  <c r="A113" i="1"/>
  <c r="A114" i="1"/>
  <c r="B114" i="1"/>
  <c r="A115" i="1"/>
  <c r="A116" i="1"/>
  <c r="B116" i="1"/>
  <c r="A117" i="1"/>
  <c r="B117" i="1"/>
  <c r="A118" i="1"/>
  <c r="B118" i="1"/>
  <c r="A119" i="1"/>
  <c r="A120" i="1"/>
  <c r="B120" i="1"/>
  <c r="A121" i="1"/>
  <c r="A122" i="1"/>
  <c r="B122" i="1"/>
  <c r="A123" i="1"/>
  <c r="B123" i="1"/>
  <c r="A124" i="1"/>
  <c r="B124" i="1"/>
  <c r="A125" i="1"/>
  <c r="A126" i="1"/>
  <c r="B126" i="1"/>
  <c r="A127" i="1"/>
  <c r="B127" i="1"/>
  <c r="A128" i="1"/>
  <c r="B128" i="1"/>
  <c r="A129" i="1"/>
  <c r="B129" i="1"/>
  <c r="A130" i="1"/>
  <c r="A131" i="1"/>
  <c r="B131" i="1"/>
  <c r="A132" i="1"/>
  <c r="A133" i="1"/>
  <c r="B133" i="1"/>
  <c r="A134" i="1"/>
  <c r="B134" i="1"/>
  <c r="A135" i="1"/>
  <c r="B135" i="1"/>
  <c r="A136" i="1"/>
  <c r="B136" i="1"/>
  <c r="A137" i="1"/>
  <c r="B137" i="1"/>
  <c r="A138" i="1"/>
  <c r="B138" i="1"/>
  <c r="A139" i="1"/>
  <c r="B139" i="1"/>
  <c r="A140" i="1"/>
  <c r="A141" i="1"/>
  <c r="A142" i="1"/>
  <c r="B142" i="1"/>
  <c r="A143" i="1"/>
  <c r="B143" i="1"/>
  <c r="A144" i="1"/>
  <c r="B144" i="1"/>
  <c r="A145" i="1"/>
  <c r="B145" i="1"/>
  <c r="A146" i="1"/>
  <c r="A147" i="1"/>
  <c r="B147" i="1"/>
  <c r="A148" i="1"/>
  <c r="A149" i="1"/>
  <c r="B149" i="1"/>
  <c r="A150" i="1"/>
  <c r="A151" i="1"/>
  <c r="A152" i="1"/>
  <c r="A153" i="1"/>
  <c r="B153" i="1"/>
  <c r="A154" i="1"/>
  <c r="B154" i="1"/>
  <c r="A155" i="1"/>
  <c r="B155" i="1"/>
  <c r="A156" i="1"/>
  <c r="B156" i="1"/>
  <c r="A157" i="1"/>
  <c r="B157" i="1"/>
  <c r="A158" i="1"/>
  <c r="B158" i="1"/>
  <c r="A159" i="1"/>
  <c r="B159" i="1"/>
  <c r="A160" i="1"/>
  <c r="B160" i="1"/>
  <c r="A161" i="1"/>
  <c r="B161" i="1"/>
  <c r="A162" i="1"/>
  <c r="A163" i="1"/>
  <c r="B163" i="1"/>
  <c r="A164" i="1"/>
  <c r="B164" i="1"/>
  <c r="A165" i="1"/>
  <c r="B165" i="1"/>
  <c r="A166" i="1"/>
  <c r="B166" i="1"/>
  <c r="A167" i="1"/>
  <c r="B167" i="1"/>
  <c r="A168" i="1"/>
  <c r="A169" i="1"/>
  <c r="A170" i="1"/>
  <c r="A171" i="1"/>
  <c r="A172" i="1"/>
  <c r="A173" i="1"/>
  <c r="A174" i="1"/>
  <c r="A175" i="1"/>
  <c r="B175" i="1"/>
  <c r="A176" i="1"/>
  <c r="B176" i="1"/>
  <c r="A177" i="1"/>
  <c r="B177" i="1"/>
  <c r="A178" i="1"/>
  <c r="A179" i="1"/>
  <c r="B179" i="1"/>
  <c r="A180" i="1"/>
  <c r="B180" i="1"/>
  <c r="A181" i="1"/>
  <c r="B181" i="1"/>
  <c r="A182" i="1"/>
  <c r="A183" i="1"/>
  <c r="B183" i="1"/>
  <c r="A184" i="1"/>
  <c r="B184" i="1"/>
  <c r="A185" i="1"/>
  <c r="B185" i="1"/>
  <c r="A186" i="1"/>
  <c r="B186" i="1"/>
  <c r="A187" i="1"/>
  <c r="B187" i="1"/>
  <c r="A188" i="1"/>
  <c r="B188" i="1"/>
  <c r="A189" i="1"/>
  <c r="B189" i="1"/>
  <c r="A190" i="1"/>
  <c r="B190" i="1"/>
  <c r="A191" i="1"/>
  <c r="B191" i="1"/>
  <c r="A192" i="1"/>
  <c r="A193" i="1"/>
  <c r="B193" i="1"/>
  <c r="A194" i="1"/>
  <c r="B194" i="1"/>
  <c r="A195" i="1"/>
  <c r="B195" i="1"/>
  <c r="A196" i="1"/>
  <c r="B196" i="1"/>
  <c r="A197" i="1"/>
  <c r="B197" i="1"/>
  <c r="A198" i="1"/>
  <c r="A199" i="1"/>
  <c r="B199" i="1"/>
  <c r="A200" i="1"/>
  <c r="A201" i="1"/>
  <c r="B201" i="1"/>
  <c r="A202" i="1"/>
  <c r="B202" i="1"/>
  <c r="A203" i="1"/>
  <c r="A204" i="1"/>
  <c r="B204" i="1"/>
  <c r="A205" i="1"/>
  <c r="B205" i="1"/>
  <c r="A206" i="1"/>
  <c r="B206" i="1"/>
  <c r="A207" i="1"/>
  <c r="A208" i="1"/>
  <c r="A209" i="1"/>
  <c r="A210" i="1"/>
  <c r="A211" i="1"/>
  <c r="B211" i="1"/>
  <c r="A212" i="1"/>
  <c r="B212" i="1"/>
  <c r="A213" i="1"/>
  <c r="A214" i="1"/>
  <c r="B214" i="1"/>
  <c r="A215" i="1"/>
  <c r="B215" i="1"/>
  <c r="A216" i="1"/>
  <c r="B216" i="1"/>
  <c r="A217" i="1"/>
  <c r="B217" i="1"/>
  <c r="A218" i="1"/>
  <c r="B218" i="1"/>
  <c r="A219" i="1"/>
  <c r="A220" i="1"/>
  <c r="B220" i="1"/>
  <c r="A221" i="1"/>
  <c r="B221" i="1"/>
  <c r="A222" i="1"/>
  <c r="A223" i="1"/>
  <c r="B223" i="1"/>
  <c r="A224" i="1"/>
  <c r="A225" i="1"/>
  <c r="A226" i="1"/>
  <c r="B226" i="1"/>
  <c r="A227" i="1"/>
  <c r="A228" i="1"/>
  <c r="A229" i="1"/>
  <c r="B229" i="1"/>
  <c r="A230" i="1"/>
  <c r="B230" i="1"/>
  <c r="A231" i="1"/>
  <c r="B231" i="1"/>
  <c r="A232" i="1"/>
  <c r="A233" i="1"/>
  <c r="B233" i="1"/>
  <c r="A234" i="1"/>
  <c r="B234" i="1"/>
  <c r="A235" i="1"/>
  <c r="A236" i="1"/>
  <c r="A237" i="1"/>
  <c r="A238" i="1"/>
  <c r="A239" i="1"/>
  <c r="A240" i="1"/>
  <c r="B240" i="1"/>
  <c r="A241" i="1"/>
  <c r="B241" i="1"/>
  <c r="A242" i="1"/>
  <c r="B242" i="1"/>
  <c r="A243" i="1"/>
  <c r="A244" i="1"/>
  <c r="A245" i="1"/>
  <c r="B245" i="1"/>
  <c r="A246" i="1"/>
  <c r="B246" i="1"/>
  <c r="A247" i="1"/>
  <c r="B247" i="1"/>
  <c r="A248" i="1"/>
  <c r="B248" i="1"/>
  <c r="A249" i="1"/>
  <c r="B249" i="1"/>
  <c r="A250" i="1"/>
  <c r="B250" i="1"/>
  <c r="A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A266" i="1"/>
  <c r="B266" i="1"/>
  <c r="A267" i="1"/>
  <c r="B267" i="1"/>
  <c r="A268" i="1"/>
  <c r="B268" i="1"/>
  <c r="A269" i="1"/>
  <c r="A270" i="1"/>
  <c r="A271" i="1"/>
  <c r="B271" i="1"/>
  <c r="A272" i="1"/>
  <c r="B272" i="1"/>
  <c r="A273" i="1"/>
  <c r="B273" i="1"/>
  <c r="A274" i="1"/>
  <c r="B274" i="1"/>
  <c r="A275" i="1"/>
  <c r="A276" i="1"/>
  <c r="B276" i="1"/>
  <c r="A277" i="1"/>
  <c r="B277" i="1"/>
  <c r="A278" i="1"/>
  <c r="A279" i="1"/>
  <c r="B279" i="1"/>
  <c r="A280" i="1"/>
  <c r="B280" i="1"/>
  <c r="A281" i="1"/>
  <c r="A282" i="1"/>
  <c r="A283" i="1"/>
  <c r="B283" i="1"/>
  <c r="A284" i="1"/>
  <c r="A285" i="1"/>
  <c r="B285" i="1"/>
  <c r="A286" i="1"/>
  <c r="B286" i="1"/>
  <c r="A287" i="1"/>
  <c r="A288" i="1"/>
  <c r="B288" i="1"/>
  <c r="A289" i="1"/>
  <c r="B289" i="1"/>
  <c r="A290" i="1"/>
  <c r="B290" i="1"/>
  <c r="A291" i="1"/>
  <c r="B291" i="1"/>
  <c r="A292" i="1"/>
  <c r="B292" i="1"/>
  <c r="A293" i="1"/>
  <c r="A294" i="1"/>
  <c r="A295" i="1"/>
  <c r="A296" i="1"/>
  <c r="B296" i="1"/>
  <c r="A297" i="1"/>
  <c r="B297" i="1"/>
  <c r="A298" i="1"/>
  <c r="A299" i="1"/>
  <c r="B299" i="1"/>
  <c r="A300" i="1"/>
  <c r="B300" i="1"/>
  <c r="A301" i="1"/>
  <c r="B301" i="1"/>
  <c r="A302" i="1"/>
  <c r="A303" i="1"/>
  <c r="B303" i="1"/>
  <c r="A304" i="1"/>
  <c r="B304" i="1"/>
  <c r="A305" i="1"/>
  <c r="B305" i="1"/>
  <c r="A306" i="1"/>
  <c r="B306" i="1"/>
  <c r="A307" i="1"/>
  <c r="B307" i="1"/>
  <c r="A308" i="1"/>
  <c r="B308" i="1"/>
  <c r="A309" i="1"/>
  <c r="A310" i="1"/>
  <c r="B310" i="1"/>
  <c r="A311" i="1"/>
  <c r="B311" i="1"/>
  <c r="A312" i="1"/>
  <c r="B312" i="1"/>
  <c r="A313" i="1"/>
  <c r="B313" i="1"/>
  <c r="A314" i="1"/>
  <c r="B314" i="1"/>
  <c r="A315" i="1"/>
  <c r="B315" i="1"/>
  <c r="A316" i="1"/>
  <c r="B316" i="1"/>
  <c r="A317" i="1"/>
  <c r="A318" i="1"/>
  <c r="B318" i="1"/>
  <c r="A319" i="1"/>
  <c r="B319" i="1"/>
  <c r="A320" i="1"/>
  <c r="B320" i="1"/>
  <c r="A321" i="1"/>
  <c r="B321" i="1"/>
  <c r="A322" i="1"/>
  <c r="B322" i="1"/>
  <c r="A323" i="1"/>
  <c r="B323" i="1"/>
  <c r="A324" i="1"/>
  <c r="B324" i="1"/>
  <c r="A325" i="1"/>
  <c r="A326" i="1"/>
  <c r="B326" i="1"/>
  <c r="A327" i="1"/>
  <c r="B327" i="1"/>
  <c r="A328" i="1"/>
  <c r="A329" i="1"/>
  <c r="B329" i="1"/>
  <c r="A330" i="1"/>
  <c r="B330" i="1"/>
  <c r="A331" i="1"/>
  <c r="B331" i="1"/>
  <c r="A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A351" i="1"/>
  <c r="A352" i="1"/>
  <c r="A353" i="1"/>
  <c r="B353" i="1"/>
  <c r="A354" i="1"/>
  <c r="B354" i="1"/>
  <c r="A355" i="1"/>
  <c r="B355" i="1"/>
  <c r="A356" i="1"/>
  <c r="B356" i="1"/>
  <c r="A357" i="1"/>
  <c r="B357" i="1"/>
  <c r="A358" i="1"/>
  <c r="B358" i="1"/>
  <c r="A359" i="1"/>
  <c r="B359" i="1"/>
  <c r="A360" i="1"/>
  <c r="B360" i="1"/>
  <c r="A361" i="1"/>
  <c r="B361" i="1"/>
  <c r="A362" i="1"/>
  <c r="A363" i="1"/>
  <c r="B363" i="1"/>
  <c r="A364" i="1"/>
  <c r="B364" i="1"/>
  <c r="A365" i="1"/>
  <c r="B365" i="1"/>
  <c r="A366" i="1"/>
  <c r="A367" i="1"/>
  <c r="A368" i="1"/>
  <c r="A369" i="1"/>
  <c r="B369" i="1"/>
  <c r="A370" i="1"/>
  <c r="B370" i="1"/>
  <c r="A371" i="1"/>
  <c r="B371" i="1"/>
  <c r="A372" i="1"/>
  <c r="B372" i="1"/>
  <c r="A373" i="1"/>
  <c r="B373" i="1"/>
  <c r="A374" i="1"/>
  <c r="B374" i="1"/>
  <c r="A375" i="1"/>
  <c r="B375" i="1"/>
  <c r="A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A398" i="1"/>
  <c r="B398" i="1"/>
  <c r="A399" i="1"/>
  <c r="B399" i="1"/>
  <c r="A400" i="1"/>
  <c r="B400" i="1"/>
  <c r="A401" i="1"/>
  <c r="B401" i="1"/>
  <c r="A402" i="1"/>
  <c r="B402" i="1"/>
  <c r="A403" i="1"/>
  <c r="B403" i="1"/>
  <c r="A404" i="1"/>
  <c r="B404" i="1"/>
  <c r="A405" i="1"/>
  <c r="B405" i="1"/>
  <c r="A406" i="1"/>
  <c r="B406" i="1"/>
  <c r="A407" i="1"/>
  <c r="B407" i="1"/>
  <c r="A408" i="1"/>
  <c r="B408" i="1"/>
  <c r="A409" i="1"/>
  <c r="A410" i="1"/>
  <c r="B410" i="1"/>
  <c r="A411" i="1"/>
  <c r="B411" i="1"/>
  <c r="A412" i="1"/>
  <c r="B412" i="1"/>
  <c r="A413" i="1"/>
  <c r="B413" i="1"/>
  <c r="A414" i="1"/>
  <c r="B414" i="1"/>
  <c r="A415" i="1"/>
  <c r="A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A432" i="1"/>
  <c r="B432" i="1"/>
  <c r="A433" i="1"/>
  <c r="B433" i="1"/>
  <c r="A434" i="1"/>
  <c r="B434" i="1"/>
  <c r="A435" i="1"/>
  <c r="B435" i="1"/>
  <c r="A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A486" i="1"/>
  <c r="A487" i="1"/>
  <c r="A488" i="1"/>
  <c r="A489" i="1"/>
  <c r="A490" i="1"/>
  <c r="A491" i="1"/>
  <c r="A492" i="1"/>
  <c r="A493" i="1"/>
  <c r="A494" i="1"/>
  <c r="B494" i="1"/>
  <c r="A495" i="1"/>
  <c r="B495" i="1"/>
  <c r="A496" i="1"/>
  <c r="B496" i="1"/>
  <c r="A497" i="1"/>
  <c r="A498" i="1"/>
  <c r="A499" i="1"/>
  <c r="A500" i="1"/>
  <c r="A501" i="1"/>
  <c r="A502" i="1"/>
  <c r="A503" i="1"/>
  <c r="A504" i="1"/>
  <c r="B504" i="1"/>
  <c r="A505" i="1"/>
  <c r="A506" i="1"/>
  <c r="B506" i="1"/>
  <c r="A507" i="1"/>
  <c r="B507" i="1"/>
  <c r="A508" i="1"/>
  <c r="B508" i="1"/>
  <c r="A509" i="1"/>
  <c r="A510" i="1"/>
  <c r="B510" i="1"/>
  <c r="A511" i="1"/>
  <c r="B511" i="1"/>
  <c r="A512" i="1"/>
  <c r="B512" i="1"/>
  <c r="A513" i="1"/>
  <c r="B513" i="1"/>
  <c r="A514" i="1"/>
  <c r="A515" i="1"/>
  <c r="A516" i="1"/>
  <c r="A517" i="1"/>
  <c r="A518" i="1"/>
  <c r="A519" i="1"/>
  <c r="A520" i="1"/>
  <c r="A521" i="1"/>
  <c r="A522" i="1"/>
  <c r="B522" i="1"/>
  <c r="A523" i="1"/>
  <c r="B523" i="1"/>
  <c r="A524" i="1"/>
  <c r="B524" i="1"/>
  <c r="A525" i="1"/>
  <c r="B525" i="1"/>
  <c r="A526" i="1"/>
  <c r="A527" i="1"/>
  <c r="B527" i="1"/>
  <c r="A528" i="1"/>
  <c r="B528" i="1"/>
  <c r="A529" i="1"/>
  <c r="A530" i="1"/>
  <c r="A531" i="1"/>
  <c r="A532" i="1"/>
  <c r="A533" i="1"/>
  <c r="A534" i="1"/>
  <c r="B534" i="1"/>
  <c r="A535" i="1"/>
  <c r="B535" i="1"/>
  <c r="A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A555" i="1"/>
  <c r="A556" i="1"/>
  <c r="A557" i="1"/>
  <c r="A558" i="1"/>
  <c r="B558" i="1"/>
  <c r="A559" i="1"/>
  <c r="B559" i="1"/>
  <c r="A560" i="1"/>
  <c r="B560" i="1"/>
  <c r="A561" i="1"/>
  <c r="A562" i="1"/>
  <c r="B562" i="1"/>
  <c r="A563" i="1"/>
  <c r="A564" i="1"/>
  <c r="B564" i="1"/>
  <c r="A565" i="1"/>
  <c r="B565" i="1"/>
  <c r="A566" i="1"/>
  <c r="B566" i="1"/>
  <c r="A567" i="1"/>
  <c r="B567" i="1"/>
  <c r="A568" i="1"/>
  <c r="B568" i="1"/>
  <c r="A569" i="1"/>
  <c r="B569" i="1"/>
  <c r="A570" i="1"/>
  <c r="A571" i="1"/>
  <c r="B571" i="1"/>
  <c r="A572" i="1"/>
  <c r="A573" i="1"/>
  <c r="B573" i="1"/>
  <c r="A574" i="1"/>
  <c r="B574" i="1"/>
  <c r="A575" i="1"/>
  <c r="A576" i="1"/>
  <c r="B576" i="1"/>
  <c r="A577" i="1"/>
  <c r="B577" i="1"/>
  <c r="A578" i="1"/>
  <c r="B578" i="1"/>
  <c r="A579" i="1"/>
  <c r="B579" i="1"/>
  <c r="A580" i="1"/>
  <c r="B580" i="1"/>
  <c r="A581" i="1"/>
  <c r="B581" i="1"/>
  <c r="A582" i="1"/>
  <c r="B582" i="1"/>
  <c r="A583" i="1"/>
  <c r="B583" i="1"/>
  <c r="A584" i="1"/>
  <c r="B584" i="1"/>
  <c r="A585" i="1"/>
  <c r="B585" i="1"/>
  <c r="A586" i="1"/>
  <c r="A587" i="1"/>
  <c r="B587" i="1"/>
  <c r="A588" i="1"/>
  <c r="A589" i="1"/>
  <c r="A590" i="1"/>
  <c r="B590" i="1"/>
  <c r="A591" i="1"/>
  <c r="B591" i="1"/>
  <c r="A592" i="1"/>
  <c r="A593" i="1"/>
  <c r="A594" i="1"/>
  <c r="A595" i="1"/>
  <c r="B595" i="1"/>
  <c r="A596" i="1"/>
  <c r="A597" i="1"/>
  <c r="B597" i="1"/>
  <c r="A598" i="1"/>
  <c r="B598" i="1"/>
  <c r="A599" i="1"/>
  <c r="A600" i="1"/>
  <c r="B600" i="1"/>
  <c r="A601" i="1"/>
  <c r="B601" i="1"/>
  <c r="A602" i="1"/>
  <c r="B602" i="1"/>
  <c r="A603" i="1"/>
  <c r="B603" i="1"/>
  <c r="A604" i="1"/>
  <c r="B604" i="1"/>
  <c r="A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A629" i="1"/>
  <c r="A630" i="1"/>
  <c r="A631" i="1"/>
  <c r="A632" i="1"/>
  <c r="B632" i="1"/>
  <c r="A633" i="1"/>
  <c r="B633" i="1"/>
  <c r="A634" i="1"/>
  <c r="A635" i="1"/>
  <c r="A636" i="1"/>
  <c r="B636" i="1"/>
  <c r="A637" i="1"/>
  <c r="A638" i="1"/>
  <c r="B638" i="1"/>
  <c r="A639" i="1"/>
  <c r="B639" i="1"/>
  <c r="A640" i="1"/>
  <c r="B640" i="1"/>
  <c r="A641" i="1"/>
  <c r="B641" i="1"/>
  <c r="A642" i="1"/>
  <c r="B642" i="1"/>
  <c r="A643" i="1"/>
  <c r="B643" i="1"/>
  <c r="A644" i="1"/>
  <c r="A645" i="1"/>
  <c r="B645" i="1"/>
  <c r="A646" i="1"/>
  <c r="B646" i="1"/>
  <c r="A647" i="1"/>
  <c r="A648" i="1"/>
  <c r="A649" i="1"/>
  <c r="B649" i="1"/>
  <c r="A650" i="1"/>
  <c r="B650" i="1"/>
  <c r="A651" i="1"/>
  <c r="B651" i="1"/>
  <c r="A652" i="1"/>
  <c r="B652" i="1"/>
  <c r="A653" i="1"/>
  <c r="A654" i="1"/>
  <c r="B654" i="1"/>
  <c r="A655" i="1"/>
  <c r="A656" i="1"/>
  <c r="A657" i="1"/>
  <c r="A658" i="1"/>
  <c r="A659" i="1"/>
  <c r="A660" i="1"/>
  <c r="A661" i="1"/>
  <c r="B661" i="1"/>
  <c r="A662" i="1"/>
  <c r="A663" i="1"/>
  <c r="A664" i="1"/>
  <c r="B664" i="1"/>
  <c r="A665" i="1"/>
  <c r="A666" i="1"/>
  <c r="A667" i="1"/>
  <c r="B667" i="1"/>
  <c r="A668" i="1"/>
  <c r="A669" i="1"/>
  <c r="B669" i="1"/>
  <c r="A670" i="1"/>
  <c r="B670" i="1"/>
  <c r="A671" i="1"/>
  <c r="B671" i="1"/>
  <c r="A672" i="1"/>
  <c r="B672" i="1"/>
  <c r="A673" i="1"/>
  <c r="B673" i="1"/>
  <c r="A674" i="1"/>
  <c r="B674" i="1"/>
  <c r="A675" i="1"/>
  <c r="B675" i="1"/>
  <c r="A676" i="1"/>
  <c r="A677" i="1"/>
  <c r="B677" i="1"/>
  <c r="A678" i="1"/>
  <c r="B678" i="1"/>
  <c r="A679" i="1"/>
  <c r="B679" i="1"/>
  <c r="A680" i="1"/>
  <c r="B680" i="1"/>
  <c r="A681" i="1"/>
  <c r="B681" i="1"/>
  <c r="A682" i="1"/>
  <c r="B682" i="1"/>
  <c r="A683" i="1"/>
  <c r="B683" i="1"/>
  <c r="A684" i="1"/>
  <c r="B684" i="1"/>
  <c r="A685" i="1"/>
  <c r="A686" i="1"/>
  <c r="B686" i="1"/>
  <c r="A687" i="1"/>
  <c r="B687" i="1"/>
  <c r="A688" i="1"/>
  <c r="B688" i="1"/>
  <c r="A689" i="1"/>
  <c r="B689" i="1"/>
  <c r="A690" i="1"/>
  <c r="A691" i="1"/>
  <c r="B691" i="1"/>
  <c r="A692" i="1"/>
  <c r="B692" i="1"/>
  <c r="A693" i="1"/>
  <c r="B693" i="1"/>
  <c r="A694" i="1"/>
  <c r="B694" i="1"/>
  <c r="A695" i="1"/>
  <c r="A696" i="1"/>
  <c r="A697" i="1"/>
  <c r="B697" i="1"/>
  <c r="A698" i="1"/>
  <c r="B698" i="1"/>
  <c r="A699" i="1"/>
  <c r="B699" i="1"/>
  <c r="A700" i="1"/>
  <c r="B700" i="1"/>
  <c r="A701" i="1"/>
  <c r="A702" i="1"/>
  <c r="A703" i="1"/>
  <c r="A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A724" i="1"/>
  <c r="B724" i="1"/>
  <c r="A725" i="1"/>
  <c r="B725" i="1"/>
  <c r="A726" i="1"/>
  <c r="B726" i="1"/>
  <c r="A727" i="1"/>
  <c r="B727" i="1"/>
  <c r="A728" i="1"/>
  <c r="A729" i="1"/>
  <c r="A730" i="1"/>
  <c r="B730" i="1"/>
  <c r="A731" i="1"/>
  <c r="B731" i="1"/>
  <c r="A732" i="1"/>
  <c r="B732" i="1"/>
  <c r="A733" i="1"/>
  <c r="A734" i="1"/>
  <c r="A735" i="1"/>
  <c r="A736" i="1"/>
  <c r="A737" i="1"/>
  <c r="B737" i="1"/>
  <c r="A738" i="1"/>
  <c r="B738" i="1"/>
  <c r="A739" i="1"/>
  <c r="B739" i="1"/>
  <c r="A740" i="1"/>
  <c r="B740" i="1"/>
  <c r="A741" i="1"/>
  <c r="B741" i="1"/>
  <c r="A742" i="1"/>
  <c r="B742" i="1"/>
  <c r="A743" i="1"/>
  <c r="A744" i="1"/>
  <c r="B744" i="1"/>
  <c r="A745" i="1"/>
  <c r="B745" i="1"/>
  <c r="A746" i="1"/>
  <c r="B746" i="1"/>
  <c r="A747" i="1"/>
  <c r="A748" i="1"/>
  <c r="B748" i="1"/>
  <c r="A749" i="1"/>
  <c r="B749" i="1"/>
  <c r="A750" i="1"/>
  <c r="B750" i="1"/>
  <c r="A751" i="1"/>
  <c r="A752" i="1"/>
  <c r="B752" i="1"/>
  <c r="A753" i="1"/>
  <c r="B753" i="1"/>
  <c r="A754" i="1"/>
  <c r="B754" i="1"/>
  <c r="A755" i="1"/>
  <c r="B755" i="1"/>
  <c r="A756" i="1"/>
  <c r="B756" i="1"/>
  <c r="A757" i="1"/>
  <c r="B757" i="1"/>
  <c r="A758" i="1"/>
  <c r="B758" i="1"/>
  <c r="A759" i="1"/>
  <c r="B759" i="1"/>
  <c r="A760" i="1"/>
  <c r="B760" i="1"/>
  <c r="A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A789" i="1"/>
  <c r="B789" i="1"/>
  <c r="A790" i="1"/>
  <c r="B790" i="1"/>
  <c r="A791" i="1"/>
  <c r="B791" i="1"/>
  <c r="A792" i="1"/>
  <c r="B792" i="1"/>
  <c r="A793" i="1"/>
  <c r="B793" i="1"/>
  <c r="A794" i="1"/>
  <c r="A795" i="1"/>
  <c r="B795" i="1"/>
  <c r="A796" i="1"/>
  <c r="B796" i="1"/>
  <c r="A797" i="1"/>
  <c r="B797" i="1"/>
  <c r="A798" i="1"/>
  <c r="B798" i="1"/>
  <c r="A799" i="1"/>
  <c r="B799" i="1"/>
  <c r="A800" i="1"/>
  <c r="B800" i="1"/>
  <c r="A801" i="1"/>
  <c r="A802" i="1"/>
  <c r="B802" i="1"/>
  <c r="A803" i="1"/>
  <c r="A804" i="1"/>
  <c r="A805" i="1"/>
  <c r="B805" i="1"/>
  <c r="A806" i="1"/>
  <c r="B806" i="1"/>
  <c r="A807" i="1"/>
  <c r="B807" i="1"/>
  <c r="A808" i="1"/>
  <c r="B808" i="1"/>
  <c r="A809" i="1"/>
  <c r="B809" i="1"/>
  <c r="A810" i="1"/>
  <c r="B810" i="1"/>
  <c r="A811" i="1"/>
  <c r="B811" i="1"/>
  <c r="A812" i="1"/>
  <c r="A813" i="1"/>
  <c r="A814" i="1"/>
  <c r="B814" i="1"/>
  <c r="A815" i="1"/>
  <c r="B815" i="1"/>
  <c r="A816" i="1"/>
  <c r="B816" i="1"/>
  <c r="A817" i="1"/>
  <c r="B817" i="1"/>
  <c r="A818" i="1"/>
  <c r="B818" i="1"/>
  <c r="A819" i="1"/>
  <c r="A820" i="1"/>
  <c r="B820" i="1"/>
  <c r="A821" i="1"/>
  <c r="B821" i="1"/>
  <c r="A822" i="1"/>
  <c r="B822" i="1"/>
  <c r="A823" i="1"/>
  <c r="B823" i="1"/>
  <c r="A824" i="1"/>
  <c r="B824" i="1"/>
  <c r="A825" i="1"/>
  <c r="B825" i="1"/>
  <c r="A826" i="1"/>
  <c r="B826" i="1"/>
  <c r="A827" i="1"/>
  <c r="A828" i="1"/>
  <c r="B828" i="1"/>
  <c r="A829" i="1"/>
  <c r="B829" i="1"/>
  <c r="A830" i="1"/>
  <c r="B830" i="1"/>
  <c r="A831" i="1"/>
  <c r="A832" i="1"/>
  <c r="B832" i="1"/>
  <c r="A833" i="1"/>
  <c r="B833" i="1"/>
  <c r="A834" i="1"/>
  <c r="B834" i="1"/>
  <c r="A835" i="1"/>
  <c r="B835" i="1"/>
  <c r="A836" i="1"/>
  <c r="B836" i="1"/>
  <c r="A837" i="1"/>
  <c r="B837" i="1"/>
  <c r="A838" i="1"/>
  <c r="B838" i="1"/>
  <c r="A839" i="1"/>
  <c r="B839" i="1"/>
  <c r="A840" i="1"/>
  <c r="B840" i="1"/>
  <c r="A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A855" i="1"/>
  <c r="B855" i="1"/>
  <c r="A856" i="1"/>
  <c r="B856" i="1"/>
  <c r="A857" i="1"/>
  <c r="B857" i="1"/>
  <c r="A858" i="1"/>
  <c r="A859" i="1"/>
  <c r="B859" i="1"/>
  <c r="A860" i="1"/>
  <c r="B860" i="1"/>
  <c r="A861" i="1"/>
  <c r="B861" i="1"/>
  <c r="A862" i="1"/>
  <c r="B862" i="1"/>
  <c r="A863" i="1"/>
  <c r="B863" i="1"/>
  <c r="A864" i="1"/>
  <c r="B864" i="1"/>
  <c r="A865" i="1"/>
  <c r="B865" i="1"/>
  <c r="A866" i="1"/>
  <c r="A867" i="1"/>
  <c r="A868" i="1"/>
  <c r="B868" i="1"/>
  <c r="A869" i="1"/>
  <c r="B869" i="1"/>
  <c r="A870" i="1"/>
  <c r="A871" i="1"/>
  <c r="B871" i="1"/>
  <c r="A872" i="1"/>
  <c r="B872" i="1"/>
  <c r="A873" i="1"/>
  <c r="A874" i="1"/>
  <c r="B874" i="1"/>
  <c r="A875" i="1"/>
  <c r="B875" i="1"/>
  <c r="A876" i="1"/>
  <c r="A877" i="1"/>
  <c r="B877" i="1"/>
  <c r="A878" i="1"/>
  <c r="B878" i="1"/>
  <c r="A879" i="1"/>
  <c r="B879" i="1"/>
  <c r="A880" i="1"/>
  <c r="B880" i="1"/>
  <c r="A881" i="1"/>
  <c r="B881" i="1"/>
  <c r="A882" i="1"/>
  <c r="A883" i="1"/>
  <c r="B883" i="1"/>
  <c r="A884" i="1"/>
  <c r="B884" i="1"/>
  <c r="A885" i="1"/>
  <c r="B885" i="1"/>
  <c r="A886" i="1"/>
  <c r="B886" i="1"/>
  <c r="A887" i="1"/>
  <c r="B887" i="1"/>
  <c r="A888" i="1"/>
  <c r="B888" i="1"/>
  <c r="A889" i="1"/>
  <c r="B889" i="1"/>
  <c r="A890" i="1"/>
  <c r="A891" i="1"/>
  <c r="B891" i="1"/>
  <c r="A892" i="1"/>
  <c r="A893" i="1"/>
  <c r="B893" i="1"/>
  <c r="A894" i="1"/>
  <c r="B894" i="1"/>
  <c r="A895" i="1"/>
  <c r="B895" i="1"/>
  <c r="A896" i="1"/>
  <c r="B896" i="1"/>
  <c r="A897" i="1"/>
  <c r="B897" i="1"/>
  <c r="A898" i="1"/>
  <c r="B898" i="1"/>
  <c r="A899" i="1"/>
  <c r="B899" i="1"/>
  <c r="A900" i="1"/>
  <c r="B900" i="1"/>
  <c r="A901" i="1"/>
  <c r="B901" i="1"/>
  <c r="A902" i="1"/>
  <c r="B902" i="1"/>
  <c r="A903" i="1"/>
  <c r="B903" i="1"/>
  <c r="A904" i="1"/>
  <c r="A905" i="1"/>
  <c r="A906" i="1"/>
  <c r="A907" i="1"/>
  <c r="A908" i="1"/>
  <c r="A909" i="1"/>
  <c r="A910" i="1"/>
  <c r="A911" i="1"/>
  <c r="A912" i="1"/>
  <c r="A913" i="1"/>
  <c r="A914" i="1"/>
  <c r="A915" i="1"/>
  <c r="A916" i="1"/>
  <c r="A917" i="1"/>
  <c r="B917" i="1"/>
  <c r="A918" i="1"/>
  <c r="B918" i="1"/>
  <c r="A919" i="1"/>
  <c r="A920" i="1"/>
  <c r="B920" i="1"/>
  <c r="A921" i="1"/>
  <c r="B921" i="1"/>
  <c r="A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A941" i="1"/>
  <c r="B941" i="1"/>
  <c r="A942" i="1"/>
  <c r="B942" i="1"/>
  <c r="A943" i="1"/>
  <c r="B943" i="1"/>
  <c r="A944" i="1"/>
  <c r="A945" i="1"/>
  <c r="A946" i="1"/>
  <c r="B946" i="1"/>
  <c r="A947" i="1"/>
  <c r="B947" i="1"/>
  <c r="A948" i="1"/>
  <c r="B948" i="1"/>
  <c r="A949" i="1"/>
  <c r="B949" i="1"/>
  <c r="A950" i="1"/>
  <c r="B950" i="1"/>
  <c r="A951" i="1"/>
  <c r="A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A985" i="1"/>
  <c r="B985" i="1"/>
  <c r="A986" i="1"/>
  <c r="B986" i="1"/>
  <c r="A987" i="1"/>
  <c r="B987" i="1"/>
  <c r="A988" i="1"/>
  <c r="B988" i="1"/>
  <c r="A989" i="1"/>
  <c r="B989" i="1"/>
  <c r="A990" i="1"/>
  <c r="B990" i="1"/>
  <c r="A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A1010" i="1"/>
  <c r="B1010" i="1"/>
  <c r="A1011" i="1"/>
  <c r="B1011" i="1"/>
  <c r="A1012" i="1"/>
  <c r="B1012" i="1"/>
  <c r="A1013" i="1"/>
  <c r="B1013" i="1"/>
  <c r="A1014" i="1"/>
  <c r="B1014" i="1"/>
  <c r="A1015" i="1"/>
  <c r="A1016" i="1"/>
  <c r="B1016" i="1"/>
  <c r="A1017" i="1"/>
  <c r="B1017" i="1"/>
  <c r="A1018" i="1"/>
  <c r="B1018" i="1"/>
  <c r="A1019" i="1"/>
  <c r="B1019" i="1"/>
  <c r="A1020" i="1"/>
  <c r="B1020" i="1"/>
  <c r="A1021" i="1"/>
  <c r="B1021" i="1"/>
  <c r="A1022" i="1"/>
  <c r="A1023" i="1"/>
  <c r="A1024" i="1"/>
  <c r="A1025" i="1"/>
  <c r="A1026" i="1"/>
  <c r="A1027" i="1"/>
  <c r="B1027" i="1"/>
  <c r="A1028" i="1"/>
  <c r="B1028" i="1"/>
  <c r="A1029" i="1"/>
  <c r="B1029" i="1"/>
  <c r="A1030" i="1"/>
  <c r="B1030" i="1"/>
  <c r="A1031" i="1"/>
  <c r="B1031" i="1"/>
  <c r="A1032" i="1"/>
  <c r="B1032" i="1"/>
  <c r="A1033" i="1"/>
  <c r="B1033" i="1"/>
  <c r="A1034" i="1"/>
  <c r="B1034" i="1"/>
  <c r="A1035" i="1"/>
  <c r="B1035" i="1"/>
  <c r="A1036" i="1"/>
  <c r="B1036" i="1"/>
  <c r="A1037" i="1"/>
  <c r="A1038" i="1"/>
  <c r="B1038" i="1"/>
  <c r="A1039" i="1"/>
  <c r="B1039" i="1"/>
  <c r="A1040" i="1"/>
  <c r="B1040" i="1"/>
  <c r="A1041" i="1"/>
  <c r="B1041" i="1"/>
  <c r="A1042" i="1"/>
  <c r="B1042" i="1"/>
  <c r="A1043" i="1"/>
  <c r="A1044" i="1"/>
  <c r="B1044" i="1"/>
  <c r="A1045" i="1"/>
  <c r="B1045" i="1"/>
  <c r="A1046" i="1"/>
  <c r="B1046" i="1"/>
  <c r="A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A1065" i="1"/>
  <c r="B1065" i="1"/>
  <c r="A1066" i="1"/>
  <c r="B1066" i="1"/>
  <c r="A1067" i="1"/>
  <c r="B1067" i="1"/>
  <c r="A1068" i="1"/>
  <c r="B1068" i="1"/>
  <c r="A1069" i="1"/>
  <c r="B1069" i="1"/>
  <c r="A1070" i="1"/>
  <c r="B1070" i="1"/>
  <c r="A1071" i="1"/>
  <c r="B1071" i="1"/>
  <c r="A1072" i="1"/>
  <c r="B1072" i="1"/>
  <c r="A1073" i="1"/>
  <c r="B1073" i="1"/>
  <c r="A1074" i="1"/>
  <c r="B1074" i="1"/>
  <c r="A1075" i="1"/>
  <c r="A1076" i="1"/>
  <c r="B1076" i="1"/>
  <c r="A1077" i="1"/>
  <c r="B1077" i="1"/>
  <c r="A1078" i="1"/>
  <c r="B1078" i="1"/>
  <c r="A1079" i="1"/>
  <c r="B1079" i="1"/>
  <c r="A1080" i="1"/>
  <c r="B1080" i="1"/>
  <c r="A1081" i="1"/>
  <c r="B1081" i="1"/>
  <c r="A1082" i="1"/>
  <c r="B1082" i="1"/>
  <c r="A1083" i="1"/>
  <c r="A1084" i="1"/>
  <c r="B1084" i="1"/>
  <c r="A1085" i="1"/>
  <c r="B1085" i="1"/>
  <c r="A1086" i="1"/>
  <c r="B1086" i="1"/>
  <c r="A1087" i="1"/>
  <c r="A1088" i="1"/>
  <c r="B1088" i="1"/>
  <c r="A1089" i="1"/>
  <c r="A1090" i="1"/>
  <c r="A1091" i="1"/>
  <c r="B1091" i="1"/>
  <c r="A1092" i="1"/>
  <c r="B1092" i="1"/>
  <c r="A1093" i="1"/>
  <c r="B1093" i="1"/>
  <c r="A1094" i="1"/>
  <c r="A1095" i="1"/>
  <c r="B1095" i="1"/>
  <c r="A1096" i="1"/>
  <c r="B1096" i="1"/>
  <c r="A1097" i="1"/>
  <c r="A1098" i="1"/>
  <c r="B1098" i="1"/>
  <c r="A1099" i="1"/>
  <c r="A1100" i="1"/>
  <c r="A1101" i="1"/>
  <c r="B1101" i="1"/>
  <c r="A1102" i="1"/>
  <c r="A1103" i="1"/>
  <c r="A1104" i="1"/>
  <c r="A1105" i="1"/>
  <c r="B1105" i="1"/>
  <c r="A1106" i="1"/>
  <c r="B1106" i="1"/>
  <c r="A1107" i="1"/>
  <c r="B1107" i="1"/>
  <c r="A1108" i="1"/>
  <c r="B1108" i="1"/>
  <c r="A1109" i="1"/>
  <c r="B1109" i="1"/>
  <c r="A1110" i="1"/>
  <c r="B1110" i="1"/>
  <c r="A1111" i="1"/>
  <c r="A1112" i="1"/>
  <c r="A1113" i="1"/>
  <c r="B1113" i="1"/>
  <c r="A1114" i="1"/>
  <c r="B1114" i="1"/>
  <c r="A1115" i="1"/>
  <c r="B1115" i="1"/>
  <c r="A1116" i="1"/>
  <c r="B1116" i="1"/>
  <c r="A1117" i="1"/>
  <c r="B1117" i="1"/>
  <c r="A1118" i="1"/>
  <c r="A1119" i="1"/>
  <c r="B1119" i="1"/>
  <c r="A1120" i="1"/>
  <c r="A1121" i="1"/>
  <c r="A1122" i="1"/>
  <c r="B1122" i="1"/>
  <c r="A1123" i="1"/>
  <c r="B1123" i="1"/>
  <c r="A1124" i="1"/>
  <c r="A1125" i="1"/>
  <c r="B1125" i="1"/>
  <c r="A1126" i="1"/>
  <c r="A1127" i="1"/>
  <c r="A1128" i="1"/>
  <c r="A1129" i="1"/>
  <c r="B1129" i="1"/>
  <c r="A1130" i="1"/>
  <c r="B1130" i="1"/>
  <c r="A1131" i="1"/>
  <c r="B1131" i="1"/>
  <c r="A1132" i="1"/>
  <c r="B1132" i="1"/>
  <c r="A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A1155" i="1"/>
  <c r="A1156" i="1"/>
  <c r="A1157" i="1"/>
  <c r="B1157" i="1"/>
  <c r="A1158" i="1"/>
  <c r="A1159" i="1"/>
  <c r="A1160" i="1"/>
  <c r="B1160" i="1"/>
  <c r="A1161" i="1"/>
  <c r="B1161" i="1"/>
  <c r="A1162" i="1"/>
  <c r="B1162" i="1"/>
  <c r="A1163" i="1"/>
  <c r="B1163" i="1"/>
  <c r="A1164" i="1"/>
  <c r="A1165" i="1"/>
  <c r="B1165" i="1"/>
  <c r="A1166" i="1"/>
  <c r="B1166" i="1"/>
  <c r="A1167" i="1"/>
  <c r="B1167" i="1"/>
  <c r="A1168" i="1"/>
  <c r="A1169" i="1"/>
  <c r="A1170" i="1"/>
  <c r="B1170" i="1"/>
  <c r="A1171" i="1"/>
  <c r="B1171" i="1"/>
  <c r="A1172" i="1"/>
  <c r="B1172" i="1"/>
  <c r="A1173" i="1"/>
  <c r="B1173" i="1"/>
  <c r="A1174" i="1"/>
  <c r="B1174" i="1"/>
  <c r="A1175" i="1"/>
  <c r="B1175" i="1"/>
  <c r="A1176" i="1"/>
  <c r="B1176" i="1"/>
  <c r="A1177" i="1"/>
  <c r="B1177" i="1"/>
  <c r="A1178" i="1"/>
  <c r="A1179" i="1"/>
  <c r="A1180" i="1"/>
  <c r="A1181" i="1"/>
  <c r="B1181" i="1"/>
  <c r="A1182" i="1"/>
  <c r="B1182" i="1"/>
  <c r="A1183" i="1"/>
  <c r="B1183" i="1"/>
  <c r="A1184" i="1"/>
  <c r="B1184" i="1"/>
  <c r="A1185" i="1"/>
  <c r="A1186" i="1"/>
  <c r="B1186" i="1"/>
  <c r="A1187" i="1"/>
  <c r="A1188" i="1"/>
  <c r="A1189" i="1"/>
  <c r="B1189" i="1"/>
  <c r="A1190" i="1"/>
  <c r="B1190" i="1"/>
  <c r="A1191" i="1"/>
  <c r="A1192" i="1"/>
  <c r="B1192" i="1"/>
  <c r="A1193" i="1"/>
  <c r="B1193" i="1"/>
  <c r="A1194" i="1"/>
  <c r="B1194" i="1"/>
  <c r="A1195" i="1"/>
  <c r="A1196" i="1"/>
  <c r="A1197" i="1"/>
  <c r="A1198" i="1"/>
  <c r="A1199" i="1"/>
  <c r="A1200" i="1"/>
  <c r="B1200" i="1"/>
  <c r="A1201" i="1"/>
  <c r="B1201" i="1"/>
  <c r="A1202" i="1"/>
  <c r="B1202" i="1"/>
  <c r="A1203" i="1"/>
  <c r="B1203" i="1"/>
  <c r="A1204" i="1"/>
  <c r="B1204" i="1"/>
  <c r="A1205" i="1"/>
  <c r="A1206" i="1"/>
  <c r="B1206" i="1"/>
  <c r="A1207" i="1"/>
  <c r="A1208" i="1"/>
  <c r="B1208" i="1"/>
  <c r="A1209" i="1"/>
  <c r="B1209" i="1"/>
  <c r="A1210" i="1"/>
  <c r="B1210" i="1"/>
  <c r="A1211" i="1"/>
  <c r="A1212" i="1"/>
  <c r="B1212" i="1"/>
  <c r="A1213" i="1"/>
  <c r="B1213" i="1"/>
  <c r="A1214" i="1"/>
  <c r="B1214" i="1"/>
  <c r="A1215" i="1"/>
  <c r="A1216" i="1"/>
  <c r="B1216" i="1"/>
  <c r="A1217" i="1"/>
  <c r="A1218" i="1"/>
  <c r="A1219" i="1"/>
  <c r="B1219" i="1"/>
  <c r="A1220" i="1"/>
  <c r="B1220" i="1"/>
  <c r="A1221" i="1"/>
  <c r="B1221" i="1"/>
  <c r="A1222" i="1"/>
  <c r="B1222" i="1"/>
  <c r="A1223" i="1"/>
  <c r="B1223" i="1"/>
  <c r="A1224" i="1"/>
  <c r="B1224" i="1"/>
  <c r="A1225" i="1"/>
  <c r="B1225" i="1"/>
  <c r="A1226" i="1"/>
  <c r="B1226" i="1"/>
  <c r="A1227" i="1"/>
  <c r="B1227" i="1"/>
  <c r="A1228" i="1"/>
  <c r="A1229" i="1"/>
  <c r="B1229" i="1"/>
  <c r="A1230" i="1"/>
  <c r="B1230" i="1"/>
  <c r="A1231" i="1"/>
  <c r="B1231" i="1"/>
  <c r="A1232" i="1"/>
  <c r="B1232" i="1"/>
  <c r="A1233" i="1"/>
  <c r="B1233" i="1"/>
  <c r="A1234" i="1"/>
  <c r="B1234" i="1"/>
  <c r="A1235" i="1"/>
  <c r="B1235" i="1"/>
  <c r="A1236" i="1"/>
  <c r="A1237" i="1"/>
  <c r="B1237" i="1"/>
  <c r="A1238" i="1"/>
  <c r="B1238" i="1"/>
  <c r="A1239" i="1"/>
  <c r="A1240" i="1"/>
  <c r="A1241" i="1"/>
  <c r="A1242" i="1"/>
  <c r="A1243" i="1"/>
  <c r="A1244" i="1"/>
  <c r="A1245" i="1"/>
  <c r="A1246" i="1"/>
  <c r="A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A1268" i="1"/>
  <c r="B1268" i="1"/>
  <c r="A1269" i="1"/>
  <c r="B1269" i="1"/>
  <c r="A1270" i="1"/>
  <c r="A1271" i="1"/>
  <c r="B1271" i="1"/>
  <c r="A1272" i="1"/>
  <c r="B1272" i="1"/>
  <c r="A1273" i="1"/>
  <c r="A1274" i="1"/>
  <c r="B1274" i="1"/>
  <c r="A1275" i="1"/>
  <c r="A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A1299" i="1"/>
  <c r="B1299" i="1"/>
  <c r="A1300" i="1"/>
  <c r="B1300" i="1"/>
  <c r="A1301" i="1"/>
  <c r="B1301" i="1"/>
  <c r="A1302" i="1"/>
  <c r="B1302" i="1"/>
  <c r="A1303" i="1"/>
  <c r="B1303" i="1"/>
  <c r="A1304" i="1"/>
  <c r="A1305" i="1"/>
  <c r="A1306" i="1"/>
  <c r="A1307" i="1"/>
  <c r="B1307" i="1"/>
  <c r="A1308" i="1"/>
  <c r="A1309" i="1"/>
  <c r="B1309" i="1"/>
  <c r="A1310" i="1"/>
  <c r="B1310" i="1"/>
  <c r="A1311" i="1"/>
  <c r="B1311" i="1"/>
  <c r="A1312" i="1"/>
  <c r="A1313" i="1"/>
  <c r="A1314" i="1"/>
  <c r="B1314" i="1"/>
  <c r="A1315" i="1"/>
  <c r="B1315" i="1"/>
  <c r="A1316" i="1"/>
  <c r="A1317" i="1"/>
  <c r="B1317" i="1"/>
  <c r="A1318" i="1"/>
  <c r="B1318" i="1"/>
  <c r="A1319" i="1"/>
  <c r="B1319" i="1"/>
  <c r="A1320" i="1"/>
  <c r="B1320" i="1"/>
  <c r="A1321" i="1"/>
  <c r="B1321" i="1"/>
  <c r="A1322" i="1"/>
  <c r="B1322" i="1"/>
  <c r="A1323" i="1"/>
  <c r="B1323" i="1"/>
  <c r="A1324" i="1"/>
  <c r="B1324" i="1"/>
  <c r="A1325" i="1"/>
  <c r="A1326" i="1"/>
  <c r="B1326" i="1"/>
  <c r="A1327" i="1"/>
  <c r="B1327" i="1"/>
  <c r="A1328" i="1"/>
  <c r="B1328" i="1"/>
  <c r="A1329" i="1"/>
  <c r="B1329" i="1"/>
  <c r="A1330" i="1"/>
  <c r="B1330" i="1"/>
  <c r="A1331" i="1"/>
  <c r="A1332" i="1"/>
  <c r="A1333" i="1"/>
  <c r="B1333" i="1"/>
  <c r="A1334" i="1"/>
  <c r="A1335" i="1"/>
  <c r="A1336" i="1"/>
  <c r="B1336" i="1"/>
  <c r="A1337" i="1"/>
  <c r="B1337" i="1"/>
  <c r="A1338" i="1"/>
  <c r="A1339" i="1"/>
  <c r="B1339" i="1"/>
  <c r="A1340" i="1"/>
  <c r="B1340" i="1"/>
  <c r="A1341" i="1"/>
  <c r="B1341" i="1"/>
  <c r="A1342" i="1"/>
  <c r="B1342" i="1"/>
  <c r="A1343" i="1"/>
  <c r="B1343" i="1"/>
  <c r="A1344" i="1"/>
  <c r="A1345" i="1"/>
  <c r="B1345" i="1"/>
  <c r="A1346" i="1"/>
  <c r="A1347" i="1"/>
  <c r="B1347" i="1"/>
  <c r="A1348" i="1"/>
  <c r="B1348" i="1"/>
  <c r="A1349" i="1"/>
  <c r="A1350" i="1"/>
  <c r="A1351" i="1"/>
  <c r="B1351" i="1"/>
  <c r="A1352" i="1"/>
  <c r="B1352" i="1"/>
  <c r="A1353" i="1"/>
  <c r="B1353" i="1"/>
  <c r="A1354" i="1"/>
  <c r="B1354" i="1"/>
  <c r="A1355" i="1"/>
  <c r="B1355" i="1"/>
  <c r="A1356" i="1"/>
  <c r="B1356" i="1"/>
  <c r="A1357" i="1"/>
  <c r="B1357" i="1"/>
  <c r="A1358" i="1"/>
  <c r="B1358" i="1"/>
  <c r="A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A1372" i="1"/>
  <c r="A1373" i="1"/>
  <c r="B1373" i="1"/>
  <c r="A1374" i="1"/>
  <c r="A1375" i="1"/>
  <c r="A1376" i="1"/>
  <c r="A1377" i="1"/>
  <c r="B1377" i="1"/>
  <c r="A1378" i="1"/>
  <c r="B1378" i="1"/>
  <c r="A1379" i="1"/>
  <c r="B1379" i="1"/>
  <c r="A1380" i="1"/>
  <c r="A1381" i="1"/>
  <c r="B1381" i="1"/>
  <c r="A1382" i="1"/>
  <c r="B1382" i="1"/>
  <c r="A1383" i="1"/>
  <c r="B1383" i="1"/>
  <c r="A1384" i="1"/>
  <c r="B1384" i="1"/>
  <c r="A1385" i="1"/>
  <c r="B1385" i="1"/>
  <c r="A1386" i="1"/>
  <c r="A1387" i="1"/>
  <c r="A1388" i="1"/>
  <c r="A1389" i="1"/>
  <c r="A1390" i="1"/>
  <c r="A1391" i="1"/>
  <c r="A1392" i="1"/>
  <c r="A1393" i="1"/>
  <c r="A1394" i="1"/>
  <c r="A1395" i="1"/>
  <c r="A1396" i="1"/>
  <c r="A1397" i="1"/>
  <c r="A1398" i="1"/>
  <c r="B1398" i="1"/>
  <c r="A1399" i="1"/>
  <c r="B1399" i="1"/>
  <c r="A1400" i="1"/>
  <c r="B1400" i="1"/>
  <c r="A1401" i="1"/>
  <c r="B1401" i="1"/>
  <c r="A1402" i="1"/>
  <c r="B1402" i="1"/>
  <c r="A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A1443" i="1"/>
  <c r="A1444" i="1"/>
  <c r="A1445" i="1"/>
  <c r="A1446" i="1"/>
  <c r="A1447" i="1"/>
  <c r="B1447" i="1"/>
  <c r="A1448" i="1"/>
  <c r="B1448" i="1"/>
  <c r="A1449" i="1"/>
  <c r="A1450" i="1"/>
  <c r="B1450" i="1"/>
  <c r="A1451" i="1"/>
  <c r="B1451" i="1"/>
  <c r="A1452" i="1"/>
  <c r="B1452" i="1"/>
  <c r="A1453" i="1"/>
  <c r="A1454" i="1"/>
  <c r="A1455" i="1"/>
  <c r="A1456" i="1"/>
  <c r="B1456" i="1"/>
  <c r="A1457" i="1"/>
  <c r="B1457" i="1"/>
  <c r="A1458" i="1"/>
  <c r="A1459" i="1"/>
  <c r="A1460" i="1"/>
  <c r="B1460" i="1"/>
  <c r="A1461" i="1"/>
  <c r="B1461" i="1"/>
  <c r="A1462" i="1"/>
  <c r="B1462" i="1"/>
  <c r="A1463" i="1"/>
  <c r="B1463" i="1"/>
  <c r="A1464" i="1"/>
  <c r="B1464" i="1"/>
  <c r="A1465" i="1"/>
  <c r="B1465" i="1"/>
  <c r="A1466" i="1"/>
  <c r="B1466" i="1"/>
  <c r="A1467" i="1"/>
  <c r="B1467" i="1"/>
  <c r="A1468" i="1"/>
  <c r="A1469" i="1"/>
  <c r="B1469" i="1"/>
  <c r="A1470" i="1"/>
  <c r="A1471" i="1"/>
  <c r="A1472" i="1"/>
  <c r="A1473" i="1"/>
  <c r="A1474" i="1"/>
  <c r="A1475" i="1"/>
  <c r="B1475" i="1"/>
  <c r="A1476" i="1"/>
  <c r="B1476" i="1"/>
  <c r="A1477" i="1"/>
  <c r="B1477" i="1"/>
  <c r="A1478" i="1"/>
  <c r="B1478" i="1"/>
  <c r="A1479" i="1"/>
  <c r="A1480" i="1"/>
  <c r="A1481" i="1"/>
  <c r="B1481" i="1"/>
  <c r="A1482" i="1"/>
  <c r="B1482" i="1"/>
  <c r="A1483" i="1"/>
  <c r="B1483" i="1"/>
  <c r="A1484" i="1"/>
  <c r="B1484" i="1"/>
  <c r="A1485" i="1"/>
  <c r="B1485" i="1"/>
  <c r="A1486" i="1"/>
  <c r="A1487" i="1"/>
  <c r="B1487" i="1"/>
  <c r="A1488" i="1"/>
  <c r="B1488" i="1"/>
  <c r="A1489" i="1"/>
  <c r="B1489" i="1"/>
  <c r="A1490" i="1"/>
  <c r="B1490" i="1"/>
  <c r="A1491" i="1"/>
  <c r="B1491" i="1"/>
  <c r="A1492" i="1"/>
  <c r="B1492" i="1"/>
  <c r="A1493" i="1"/>
  <c r="B1493" i="1"/>
  <c r="A1494" i="1"/>
  <c r="B1494" i="1"/>
  <c r="A1495" i="1"/>
  <c r="B1495" i="1"/>
  <c r="A1496" i="1"/>
  <c r="B1496" i="1"/>
  <c r="A1497" i="1"/>
  <c r="A1498" i="1"/>
  <c r="A1499" i="1"/>
  <c r="B1499" i="1"/>
  <c r="A1500" i="1"/>
  <c r="A1501" i="1"/>
  <c r="B1501" i="1"/>
  <c r="A1502" i="1"/>
  <c r="A1503" i="1"/>
  <c r="A1504" i="1"/>
  <c r="B1504" i="1"/>
  <c r="A1505" i="1"/>
  <c r="B1505" i="1"/>
  <c r="A1506" i="1"/>
  <c r="A1507" i="1"/>
  <c r="B1507" i="1"/>
  <c r="A1508" i="1"/>
  <c r="B1508" i="1"/>
  <c r="A1509" i="1"/>
  <c r="A1510" i="1"/>
  <c r="B1510" i="1"/>
  <c r="A1511" i="1"/>
  <c r="B1511" i="1"/>
  <c r="A1512" i="1"/>
  <c r="B1512" i="1"/>
  <c r="A1513" i="1"/>
  <c r="B1513" i="1"/>
  <c r="A1514" i="1"/>
  <c r="B1514" i="1"/>
  <c r="A1515" i="1"/>
  <c r="B1515" i="1"/>
  <c r="A1516" i="1"/>
  <c r="A1517" i="1"/>
  <c r="B1517" i="1"/>
  <c r="A1518" i="1"/>
  <c r="B1518" i="1"/>
  <c r="A1519" i="1"/>
  <c r="B1519" i="1"/>
  <c r="A1520" i="1"/>
  <c r="B1520" i="1"/>
  <c r="A1521" i="1"/>
  <c r="B1521" i="1"/>
  <c r="A1522" i="1"/>
  <c r="B1522" i="1"/>
  <c r="A1523" i="1"/>
  <c r="B1523" i="1"/>
  <c r="A1524" i="1"/>
  <c r="A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A1543" i="1"/>
  <c r="A1544" i="1"/>
  <c r="B1544" i="1"/>
  <c r="A1545" i="1"/>
  <c r="A1546" i="1"/>
  <c r="B1546" i="1"/>
  <c r="A1547" i="1"/>
  <c r="B1547" i="1"/>
  <c r="A1548" i="1"/>
  <c r="B1548" i="1"/>
  <c r="A1549" i="1"/>
  <c r="A1550" i="1"/>
  <c r="B1550" i="1"/>
  <c r="A1551" i="1"/>
  <c r="B1551" i="1"/>
  <c r="A1552" i="1"/>
  <c r="B1552" i="1"/>
  <c r="A1553" i="1"/>
  <c r="B1553" i="1"/>
  <c r="A1554" i="1"/>
  <c r="B1554" i="1"/>
  <c r="A1555" i="1"/>
  <c r="B1555" i="1"/>
  <c r="A1556" i="1"/>
  <c r="A1557" i="1"/>
  <c r="A1558" i="1"/>
  <c r="A1559" i="1"/>
  <c r="A1560" i="1"/>
  <c r="A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A1581" i="1"/>
  <c r="B1581" i="1"/>
  <c r="A1582" i="1"/>
  <c r="B1582" i="1"/>
  <c r="A1583" i="1"/>
  <c r="B1583" i="1"/>
  <c r="A1584" i="1"/>
  <c r="B1584" i="1"/>
  <c r="A1585" i="1"/>
  <c r="B1585" i="1"/>
  <c r="A1586" i="1"/>
  <c r="B1586" i="1"/>
  <c r="A1587" i="1"/>
  <c r="B1587" i="1"/>
  <c r="A1588" i="1"/>
  <c r="B1588" i="1"/>
  <c r="A1589" i="1"/>
  <c r="A1590" i="1"/>
  <c r="B1590" i="1"/>
  <c r="A1591" i="1"/>
  <c r="A1592" i="1"/>
  <c r="A1593" i="1"/>
  <c r="B1593" i="1"/>
  <c r="A1594" i="1"/>
  <c r="B1594" i="1"/>
  <c r="A1595" i="1"/>
  <c r="B1595" i="1"/>
  <c r="A1596" i="1"/>
  <c r="B1596" i="1"/>
  <c r="A1597" i="1"/>
  <c r="B1597" i="1"/>
  <c r="A1598" i="1"/>
  <c r="B1598" i="1"/>
  <c r="A1599" i="1"/>
  <c r="A1600" i="1"/>
  <c r="A1601" i="1"/>
  <c r="B1601" i="1"/>
  <c r="A1602" i="1"/>
  <c r="B1602" i="1"/>
  <c r="A1603" i="1"/>
  <c r="B1603" i="1"/>
  <c r="A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A1617" i="1"/>
  <c r="B1617" i="1"/>
  <c r="A1618" i="1"/>
  <c r="A1619" i="1"/>
  <c r="B1619" i="1"/>
  <c r="A1620" i="1"/>
  <c r="B1620" i="1"/>
  <c r="A1621" i="1"/>
  <c r="B1621" i="1"/>
  <c r="A1622" i="1"/>
  <c r="B1622" i="1"/>
  <c r="A1623" i="1"/>
  <c r="A1624" i="1"/>
  <c r="B1624" i="1"/>
  <c r="A1625" i="1"/>
  <c r="B1625" i="1"/>
  <c r="A1626" i="1"/>
  <c r="B1626" i="1"/>
  <c r="A1627" i="1"/>
  <c r="B1627" i="1"/>
  <c r="A1628" i="1"/>
  <c r="B1628" i="1"/>
  <c r="A1629" i="1"/>
  <c r="B1629" i="1"/>
  <c r="A1630" i="1"/>
  <c r="B1630" i="1"/>
  <c r="A1631" i="1"/>
  <c r="B1631" i="1"/>
  <c r="A1632" i="1"/>
  <c r="B1632" i="1"/>
  <c r="A1633" i="1"/>
  <c r="A1634" i="1"/>
  <c r="A1635" i="1"/>
  <c r="B1635" i="1"/>
  <c r="A1636" i="1"/>
  <c r="B1636" i="1"/>
  <c r="A1637" i="1"/>
  <c r="B1637" i="1"/>
  <c r="A1638" i="1"/>
  <c r="B1638" i="1"/>
  <c r="A1639" i="1"/>
  <c r="B1639" i="1"/>
  <c r="A1640" i="1"/>
  <c r="B1640" i="1"/>
  <c r="A1641" i="1"/>
  <c r="B1641" i="1"/>
  <c r="A1642" i="1"/>
  <c r="B1642" i="1"/>
  <c r="A1643" i="1"/>
  <c r="B1643" i="1"/>
  <c r="A1644" i="1"/>
  <c r="B1644" i="1"/>
  <c r="A1645" i="1"/>
  <c r="A1646" i="1"/>
  <c r="B1646" i="1"/>
  <c r="A1647" i="1"/>
  <c r="B1647" i="1"/>
  <c r="A1648" i="1"/>
  <c r="B1648" i="1"/>
  <c r="A1649" i="1"/>
  <c r="A1650" i="1"/>
  <c r="B1650" i="1"/>
  <c r="A1651" i="1"/>
  <c r="B1651" i="1"/>
  <c r="A1652" i="1"/>
  <c r="B1652" i="1"/>
  <c r="A1653" i="1"/>
  <c r="B1653" i="1"/>
  <c r="A1654" i="1"/>
  <c r="B1654" i="1"/>
  <c r="A1655" i="1"/>
  <c r="B1655" i="1"/>
  <c r="A1656" i="1"/>
  <c r="B1656" i="1"/>
  <c r="A1657" i="1"/>
  <c r="B1657" i="1"/>
  <c r="A1658" i="1"/>
  <c r="A1659" i="1"/>
  <c r="B1659" i="1"/>
  <c r="A1660" i="1"/>
  <c r="A1661" i="1"/>
  <c r="A1662" i="1"/>
  <c r="B1662" i="1"/>
  <c r="A1663" i="1"/>
  <c r="B1663" i="1"/>
  <c r="A1664" i="1"/>
  <c r="B1664" i="1"/>
  <c r="A1665" i="1"/>
  <c r="B1665" i="1"/>
  <c r="A1666" i="1"/>
  <c r="B1666" i="1"/>
  <c r="A1667" i="1"/>
  <c r="A1668" i="1"/>
  <c r="B1668" i="1"/>
  <c r="A1669" i="1"/>
  <c r="A1670" i="1"/>
  <c r="B1670" i="1"/>
  <c r="A1671" i="1"/>
  <c r="B1671" i="1"/>
  <c r="A1672" i="1"/>
  <c r="B1672" i="1"/>
  <c r="A1673" i="1"/>
  <c r="B1673" i="1"/>
  <c r="A1674" i="1"/>
  <c r="B1674" i="1"/>
  <c r="A1675" i="1"/>
  <c r="B1675" i="1"/>
  <c r="A1676" i="1"/>
  <c r="B1676" i="1"/>
  <c r="A1677" i="1"/>
  <c r="B1677" i="1"/>
  <c r="A1678" i="1"/>
  <c r="A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A1694" i="1"/>
  <c r="B1694" i="1"/>
  <c r="A1695" i="1"/>
  <c r="B1695" i="1"/>
  <c r="A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A1721" i="1"/>
  <c r="B1721" i="1"/>
  <c r="A1722" i="1"/>
  <c r="B1722" i="1"/>
  <c r="A1723" i="1"/>
  <c r="B1723" i="1"/>
  <c r="A1724" i="1"/>
  <c r="B1724" i="1"/>
  <c r="A1725" i="1"/>
  <c r="B1725" i="1"/>
  <c r="A1726" i="1"/>
  <c r="B1726" i="1"/>
  <c r="A1727" i="1"/>
  <c r="B1727" i="1"/>
  <c r="A1728" i="1"/>
  <c r="A1729" i="1"/>
  <c r="A1730" i="1"/>
  <c r="A1731" i="1"/>
  <c r="A1732" i="1"/>
  <c r="A1733" i="1"/>
  <c r="A1734" i="1"/>
  <c r="B1734" i="1"/>
  <c r="A1735" i="1"/>
  <c r="A1736" i="1"/>
  <c r="A1737" i="1"/>
  <c r="A1738" i="1"/>
  <c r="B1738" i="1"/>
  <c r="A1739" i="1"/>
  <c r="B1739" i="1"/>
  <c r="A1740" i="1"/>
  <c r="B1740" i="1"/>
  <c r="A1741" i="1"/>
  <c r="B1741" i="1"/>
  <c r="A1742" i="1"/>
  <c r="B1742" i="1"/>
  <c r="A1743" i="1"/>
  <c r="B1743" i="1"/>
  <c r="A1744" i="1"/>
  <c r="B1744" i="1"/>
  <c r="A1745" i="1"/>
  <c r="A1746" i="1"/>
  <c r="B1746" i="1"/>
  <c r="A1747" i="1"/>
  <c r="B1747" i="1"/>
  <c r="A1748" i="1"/>
  <c r="B1748" i="1"/>
  <c r="A1749" i="1"/>
  <c r="A1750" i="1"/>
  <c r="B1750" i="1"/>
  <c r="A1751" i="1"/>
  <c r="B1751" i="1"/>
  <c r="A1752" i="1"/>
  <c r="B1752" i="1"/>
  <c r="A1753" i="1"/>
  <c r="B1753" i="1"/>
  <c r="A1754" i="1"/>
  <c r="B1754" i="1"/>
  <c r="A1755" i="1"/>
  <c r="B1755" i="1"/>
  <c r="A1756" i="1"/>
  <c r="B1756" i="1"/>
  <c r="A1757" i="1"/>
  <c r="A1758" i="1"/>
  <c r="A1759" i="1"/>
  <c r="B1759" i="1"/>
  <c r="A1760" i="1"/>
  <c r="B1760" i="1"/>
  <c r="A1761" i="1"/>
  <c r="A1762" i="1"/>
  <c r="A1763" i="1"/>
  <c r="A1764" i="1"/>
  <c r="A1765" i="1"/>
  <c r="B1765" i="1"/>
  <c r="A1766" i="1"/>
  <c r="A1767" i="1"/>
  <c r="B1767" i="1"/>
  <c r="A1768" i="1"/>
  <c r="B1768" i="1"/>
  <c r="A1769" i="1"/>
  <c r="B1769" i="1"/>
  <c r="A1770" i="1"/>
  <c r="B1770" i="1"/>
  <c r="A1771" i="1"/>
  <c r="B1771" i="1"/>
  <c r="A1772" i="1"/>
  <c r="B1772" i="1"/>
  <c r="A1773" i="1"/>
  <c r="B1773" i="1"/>
  <c r="A1774" i="1"/>
  <c r="B1774" i="1"/>
  <c r="A1775" i="1"/>
  <c r="B1775" i="1"/>
  <c r="A1776" i="1"/>
  <c r="A1777" i="1"/>
  <c r="B1777" i="1"/>
  <c r="A1778" i="1"/>
  <c r="B1778" i="1"/>
  <c r="A1779" i="1"/>
  <c r="A1780" i="1"/>
  <c r="B1780" i="1"/>
  <c r="A1781" i="1"/>
  <c r="B1781" i="1"/>
  <c r="A1782" i="1"/>
  <c r="B1782" i="1"/>
  <c r="A1783" i="1"/>
  <c r="B1783" i="1"/>
  <c r="A1784" i="1"/>
  <c r="A1785" i="1"/>
  <c r="A1786" i="1"/>
  <c r="B1786" i="1"/>
  <c r="A1787" i="1"/>
  <c r="B1787" i="1"/>
  <c r="A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A1802" i="1"/>
  <c r="B1802" i="1"/>
  <c r="A1803" i="1"/>
  <c r="A1804" i="1"/>
  <c r="A1805" i="1"/>
  <c r="A1806" i="1"/>
  <c r="A1807" i="1"/>
  <c r="A1808" i="1"/>
  <c r="A1809" i="1"/>
  <c r="A1810" i="1"/>
  <c r="B1810" i="1"/>
  <c r="A1811" i="1"/>
  <c r="B1811" i="1"/>
  <c r="A1812" i="1"/>
  <c r="B1812" i="1"/>
  <c r="A1813" i="1"/>
  <c r="B1813" i="1"/>
  <c r="A1814" i="1"/>
  <c r="B1814" i="1"/>
  <c r="A1815" i="1"/>
  <c r="B1815" i="1"/>
  <c r="A1816" i="1"/>
  <c r="B1816" i="1"/>
  <c r="A1817" i="1"/>
  <c r="B1817" i="1"/>
  <c r="A1818" i="1"/>
  <c r="A1819" i="1"/>
  <c r="B1819" i="1"/>
  <c r="A1820" i="1"/>
  <c r="A1821" i="1"/>
  <c r="B1821" i="1"/>
  <c r="A1822" i="1"/>
  <c r="A1823" i="1"/>
  <c r="B1823" i="1"/>
  <c r="A1824" i="1"/>
  <c r="B1824" i="1"/>
  <c r="A1825" i="1"/>
  <c r="B1825" i="1"/>
  <c r="A1826" i="1"/>
  <c r="B1826" i="1"/>
  <c r="A1827" i="1"/>
  <c r="B1827" i="1"/>
  <c r="A1828" i="1"/>
  <c r="A1829" i="1"/>
  <c r="B1829" i="1"/>
  <c r="A1830" i="1"/>
  <c r="B1830" i="1"/>
  <c r="A1831" i="1"/>
  <c r="B1831" i="1"/>
  <c r="A1832" i="1"/>
  <c r="B1832" i="1"/>
  <c r="A1833" i="1"/>
  <c r="B1833" i="1"/>
  <c r="A1834" i="1"/>
  <c r="B1834" i="1"/>
  <c r="A1835" i="1"/>
  <c r="B1835" i="1"/>
  <c r="A1836" i="1"/>
  <c r="B1836" i="1"/>
  <c r="A1837" i="1"/>
  <c r="A1838" i="1"/>
  <c r="B1838" i="1"/>
  <c r="A1839" i="1"/>
  <c r="B1839" i="1"/>
  <c r="A1840" i="1"/>
  <c r="B1840" i="1"/>
  <c r="A1841" i="1"/>
  <c r="B1841" i="1"/>
  <c r="A1842" i="1"/>
  <c r="B1842" i="1"/>
  <c r="A1843" i="1"/>
  <c r="B1843" i="1"/>
  <c r="A1844" i="1"/>
  <c r="B1844" i="1"/>
  <c r="A1845" i="1"/>
  <c r="B1845" i="1"/>
  <c r="A1846" i="1"/>
  <c r="B1846" i="1"/>
  <c r="A1847" i="1"/>
  <c r="A1848" i="1"/>
  <c r="B1848" i="1"/>
  <c r="A1849" i="1"/>
  <c r="B1849" i="1"/>
  <c r="A1850" i="1"/>
  <c r="A1851" i="1"/>
  <c r="B1851" i="1"/>
  <c r="A1852" i="1"/>
  <c r="A1853" i="1"/>
  <c r="B1853" i="1"/>
  <c r="A1854" i="1"/>
  <c r="B1854" i="1"/>
  <c r="A1855" i="1"/>
  <c r="B1855" i="1"/>
  <c r="A1856" i="1"/>
  <c r="A1857" i="1"/>
  <c r="A1858" i="1"/>
  <c r="A1859" i="1"/>
  <c r="A1860" i="1"/>
  <c r="B1860" i="1"/>
  <c r="A1861" i="1"/>
  <c r="B1861" i="1"/>
  <c r="A1862" i="1"/>
  <c r="A1863" i="1"/>
  <c r="A1864" i="1"/>
  <c r="A1865" i="1"/>
  <c r="A1866" i="1"/>
  <c r="A1867" i="1"/>
  <c r="A1868" i="1"/>
  <c r="A1869" i="1"/>
  <c r="A1870" i="1"/>
  <c r="A1871" i="1"/>
  <c r="A1872" i="1"/>
  <c r="A1873" i="1"/>
  <c r="A1874" i="1"/>
  <c r="A1875" i="1"/>
  <c r="A1876" i="1"/>
  <c r="B1876" i="1"/>
  <c r="A1877" i="1"/>
  <c r="B1877" i="1"/>
  <c r="A1878" i="1"/>
  <c r="B1878" i="1"/>
  <c r="A1879" i="1"/>
  <c r="B1879" i="1"/>
  <c r="A1880" i="1"/>
  <c r="A1881" i="1"/>
  <c r="A1882" i="1"/>
  <c r="A1883" i="1"/>
  <c r="B1883" i="1"/>
  <c r="A1884" i="1"/>
  <c r="B1884" i="1"/>
  <c r="A1885" i="1"/>
  <c r="A1886" i="1"/>
  <c r="A1887" i="1"/>
  <c r="A1888" i="1"/>
  <c r="A1889" i="1"/>
  <c r="A1890" i="1"/>
  <c r="A1891" i="1"/>
  <c r="B1891" i="1"/>
  <c r="A1892" i="1"/>
  <c r="B1892" i="1"/>
  <c r="A1893" i="1"/>
  <c r="B1893" i="1"/>
  <c r="A1894" i="1"/>
  <c r="A1895" i="1"/>
  <c r="A1896" i="1"/>
  <c r="B1896" i="1"/>
  <c r="A1897" i="1"/>
  <c r="A1898" i="1"/>
  <c r="A1899" i="1"/>
  <c r="A1900" i="1"/>
  <c r="A1901" i="1"/>
  <c r="A1902" i="1"/>
  <c r="B1902" i="1"/>
  <c r="A1903" i="1"/>
  <c r="A1904" i="1"/>
  <c r="B1904" i="1"/>
  <c r="A1905" i="1"/>
  <c r="B1905" i="1"/>
  <c r="A1906" i="1"/>
  <c r="B1906" i="1"/>
  <c r="A1907" i="1"/>
  <c r="B1907" i="1"/>
  <c r="A1908" i="1"/>
  <c r="A1909" i="1"/>
  <c r="B1909" i="1"/>
  <c r="A1910" i="1"/>
  <c r="B1910" i="1"/>
  <c r="A1911" i="1"/>
  <c r="A1912" i="1"/>
  <c r="B1912" i="1"/>
  <c r="A1913" i="1"/>
  <c r="B1913" i="1"/>
  <c r="A1914" i="1"/>
  <c r="B1914" i="1"/>
  <c r="A1915" i="1"/>
  <c r="B1915" i="1"/>
  <c r="A1916" i="1"/>
  <c r="B1916" i="1"/>
  <c r="A1917" i="1"/>
  <c r="B1917" i="1"/>
  <c r="A1918" i="1"/>
  <c r="A1919" i="1"/>
  <c r="B1919" i="1"/>
  <c r="A1920" i="1"/>
  <c r="B1920" i="1"/>
  <c r="A1921" i="1"/>
  <c r="B1921" i="1"/>
  <c r="A1922" i="1"/>
  <c r="A1923" i="1"/>
  <c r="B1923" i="1"/>
  <c r="A1924" i="1"/>
  <c r="B1924" i="1"/>
  <c r="A1925" i="1"/>
  <c r="B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A1947" i="1"/>
  <c r="A1948" i="1"/>
  <c r="B1948" i="1"/>
  <c r="A1949" i="1"/>
  <c r="A1950" i="1"/>
  <c r="B1950" i="1"/>
  <c r="A1951" i="1"/>
  <c r="B1951" i="1"/>
  <c r="A1952" i="1"/>
  <c r="B1952" i="1"/>
  <c r="A1953" i="1"/>
  <c r="B1953" i="1"/>
  <c r="A1954" i="1"/>
  <c r="B1954" i="1"/>
  <c r="A1955" i="1"/>
  <c r="A1956" i="1"/>
  <c r="A1957" i="1"/>
  <c r="B1957" i="1"/>
  <c r="A1958" i="1"/>
  <c r="B1958" i="1"/>
  <c r="A1959" i="1"/>
  <c r="B1959" i="1"/>
  <c r="A1960" i="1"/>
  <c r="B1960" i="1"/>
  <c r="A1961" i="1"/>
  <c r="B1961" i="1"/>
  <c r="A1962" i="1"/>
  <c r="B1962" i="1"/>
  <c r="A1963" i="1"/>
  <c r="A1964" i="1"/>
  <c r="A1965" i="1"/>
  <c r="B1965" i="1"/>
  <c r="A1966" i="1"/>
  <c r="B1966" i="1"/>
  <c r="A1967" i="1"/>
  <c r="B1967" i="1"/>
  <c r="A1968" i="1"/>
  <c r="A1969" i="1"/>
  <c r="A1970" i="1"/>
  <c r="B1970" i="1"/>
  <c r="A1971" i="1"/>
  <c r="B1971" i="1"/>
  <c r="A1972" i="1"/>
  <c r="A1973" i="1"/>
  <c r="A1974" i="1"/>
  <c r="A1975" i="1"/>
  <c r="A1976" i="1"/>
  <c r="B1976" i="1"/>
  <c r="A1977" i="1"/>
  <c r="B1977" i="1"/>
  <c r="A1978" i="1"/>
  <c r="A1979" i="1"/>
  <c r="B1979" i="1"/>
  <c r="A1980" i="1"/>
  <c r="A1981" i="1"/>
  <c r="A1982" i="1"/>
  <c r="B1982" i="1"/>
  <c r="A1983" i="1"/>
  <c r="B1983" i="1"/>
  <c r="A1984" i="1"/>
  <c r="B1984" i="1"/>
  <c r="A1985" i="1"/>
  <c r="B1985" i="1"/>
  <c r="A1986" i="1"/>
  <c r="A1987" i="1"/>
  <c r="A1988" i="1"/>
  <c r="B1988" i="1"/>
  <c r="A1989" i="1"/>
  <c r="A1990" i="1"/>
  <c r="B1990" i="1"/>
  <c r="A1991" i="1"/>
  <c r="A1992" i="1"/>
  <c r="A1993" i="1"/>
  <c r="B1993" i="1"/>
  <c r="A1994" i="1"/>
  <c r="B1994" i="1"/>
  <c r="A1995" i="1"/>
  <c r="B1995" i="1"/>
  <c r="A1996" i="1"/>
  <c r="B1996" i="1"/>
  <c r="A1997" i="1"/>
  <c r="B1997" i="1"/>
  <c r="A1998" i="1"/>
  <c r="B1998" i="1"/>
  <c r="A1999" i="1"/>
  <c r="B1999" i="1"/>
  <c r="A2000" i="1"/>
  <c r="B2000" i="1"/>
  <c r="A2001" i="1"/>
  <c r="B2001" i="1"/>
  <c r="A2002" i="1"/>
  <c r="B2002" i="1"/>
  <c r="A2003" i="1"/>
  <c r="A2004" i="1"/>
  <c r="B2004" i="1"/>
  <c r="A2005" i="1"/>
  <c r="A2006" i="1"/>
  <c r="B2006" i="1"/>
  <c r="A2007" i="1"/>
  <c r="A2008" i="1"/>
  <c r="A2009" i="1"/>
  <c r="A2010" i="1"/>
  <c r="B2010" i="1"/>
  <c r="A2011" i="1"/>
  <c r="B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A2030" i="1"/>
  <c r="A2031" i="1"/>
  <c r="A2032" i="1"/>
  <c r="B2032" i="1"/>
  <c r="A2033" i="1"/>
  <c r="B2033" i="1"/>
  <c r="A2034" i="1"/>
  <c r="B2034" i="1"/>
  <c r="A2035" i="1"/>
  <c r="A2036" i="1"/>
  <c r="B2036" i="1"/>
  <c r="A2037" i="1"/>
  <c r="B2037" i="1"/>
  <c r="A2038" i="1"/>
  <c r="A2039" i="1"/>
  <c r="B2039" i="1"/>
  <c r="A2040" i="1"/>
  <c r="B2040" i="1"/>
  <c r="A2041" i="1"/>
  <c r="B2041" i="1"/>
  <c r="A2042" i="1"/>
  <c r="B2042" i="1"/>
  <c r="A2043" i="1"/>
  <c r="B2043" i="1"/>
  <c r="A2044" i="1"/>
  <c r="A2045" i="1"/>
  <c r="A2046" i="1"/>
  <c r="B2046" i="1"/>
  <c r="A2047" i="1"/>
  <c r="B2047" i="1"/>
  <c r="A2048" i="1"/>
  <c r="B2048" i="1"/>
  <c r="A2049" i="1"/>
  <c r="A2050" i="1"/>
  <c r="B2050" i="1"/>
  <c r="A2051" i="1"/>
  <c r="B2051" i="1"/>
  <c r="A2052" i="1"/>
  <c r="B2052" i="1"/>
  <c r="A2053" i="1"/>
  <c r="B2053" i="1"/>
  <c r="A2054" i="1"/>
  <c r="B2054" i="1"/>
  <c r="A2055" i="1"/>
  <c r="B2055" i="1"/>
  <c r="A2056" i="1"/>
  <c r="B2056" i="1"/>
  <c r="A2057" i="1"/>
  <c r="B2057" i="1"/>
  <c r="A2058" i="1"/>
  <c r="B2058" i="1"/>
  <c r="A2059" i="1"/>
  <c r="B2059" i="1"/>
  <c r="A2060" i="1"/>
  <c r="B2060" i="1"/>
  <c r="A2061" i="1"/>
  <c r="B2061" i="1"/>
  <c r="A2062" i="1"/>
  <c r="B2062" i="1"/>
  <c r="A2063" i="1"/>
  <c r="B2063" i="1"/>
  <c r="A2064" i="1"/>
  <c r="B2064" i="1"/>
  <c r="A2065" i="1"/>
  <c r="B2065" i="1"/>
  <c r="A2066" i="1"/>
  <c r="A2067" i="1"/>
  <c r="B2067" i="1"/>
  <c r="A2068" i="1"/>
  <c r="B2068" i="1"/>
  <c r="A2069" i="1"/>
  <c r="B2069" i="1"/>
  <c r="A2070" i="1"/>
  <c r="B2070" i="1"/>
  <c r="A2071" i="1"/>
  <c r="B2071" i="1"/>
  <c r="A2072" i="1"/>
  <c r="B2072" i="1"/>
  <c r="A2073" i="1"/>
  <c r="B2073" i="1"/>
  <c r="A2074" i="1"/>
  <c r="B2074" i="1"/>
  <c r="A2075" i="1"/>
  <c r="B2075" i="1"/>
  <c r="A2076" i="1"/>
  <c r="B2076" i="1"/>
  <c r="A2077" i="1"/>
  <c r="A2078" i="1"/>
  <c r="A2079" i="1"/>
  <c r="A2080" i="1"/>
  <c r="A2081" i="1"/>
  <c r="A2082" i="1"/>
  <c r="B2082" i="1"/>
  <c r="A2083" i="1"/>
  <c r="A2084" i="1"/>
  <c r="A2085" i="1"/>
  <c r="B2085" i="1"/>
  <c r="A2086" i="1"/>
  <c r="A2087" i="1"/>
  <c r="A2088" i="1"/>
  <c r="A2089" i="1"/>
  <c r="A2090" i="1"/>
  <c r="A2091" i="1"/>
  <c r="B2091" i="1"/>
  <c r="A2092" i="1"/>
  <c r="B2092" i="1"/>
  <c r="A2093" i="1"/>
  <c r="B2093" i="1"/>
  <c r="A2094" i="1"/>
  <c r="A2095" i="1"/>
  <c r="B2095" i="1"/>
  <c r="A2096" i="1"/>
  <c r="A2097" i="1"/>
  <c r="B2097" i="1"/>
  <c r="A2098" i="1"/>
  <c r="B2098" i="1"/>
  <c r="A2099" i="1"/>
  <c r="B2099" i="1"/>
  <c r="A2100" i="1"/>
  <c r="B2100" i="1"/>
  <c r="A2101" i="1"/>
  <c r="B2101" i="1"/>
  <c r="A2102" i="1"/>
  <c r="B2102" i="1"/>
  <c r="A2103" i="1"/>
  <c r="B2103" i="1"/>
  <c r="A2104" i="1"/>
  <c r="B2104" i="1"/>
  <c r="A2105" i="1"/>
  <c r="B2105" i="1"/>
  <c r="A2106" i="1"/>
  <c r="B2106" i="1"/>
  <c r="A2107" i="1"/>
  <c r="B2107" i="1"/>
  <c r="A2108" i="1"/>
  <c r="A2109" i="1"/>
  <c r="A2110" i="1"/>
  <c r="B2110" i="1"/>
  <c r="A2111" i="1"/>
  <c r="A2112" i="1"/>
  <c r="B2112" i="1"/>
  <c r="A2113" i="1"/>
  <c r="A2114" i="1"/>
  <c r="A2115" i="1"/>
  <c r="A2116" i="1"/>
  <c r="A2117" i="1"/>
  <c r="A2118" i="1"/>
  <c r="A2119" i="1"/>
  <c r="B2119" i="1"/>
  <c r="A2120" i="1"/>
  <c r="B2120" i="1"/>
  <c r="A2121" i="1"/>
  <c r="B2121" i="1"/>
  <c r="A2122" i="1"/>
  <c r="B2122" i="1"/>
  <c r="A2123" i="1"/>
  <c r="B2123" i="1"/>
  <c r="A2124" i="1"/>
  <c r="B2124" i="1"/>
  <c r="A2125" i="1"/>
  <c r="A2126" i="1"/>
  <c r="A2127" i="1"/>
  <c r="A2128" i="1"/>
  <c r="A2129" i="1"/>
  <c r="B2129" i="1"/>
  <c r="A2130" i="1"/>
  <c r="A2131" i="1"/>
  <c r="B2131" i="1"/>
  <c r="A2132" i="1"/>
  <c r="A2133" i="1"/>
  <c r="B2133" i="1"/>
  <c r="A2134" i="1"/>
  <c r="A2135" i="1"/>
  <c r="A2136" i="1"/>
  <c r="A2137" i="1"/>
  <c r="A2138" i="1"/>
  <c r="A2139" i="1"/>
  <c r="A2140" i="1"/>
  <c r="B2140" i="1"/>
  <c r="A2141" i="1"/>
  <c r="B2141" i="1"/>
  <c r="A2142" i="1"/>
  <c r="B2142" i="1"/>
  <c r="A2143" i="1"/>
  <c r="B2143" i="1"/>
  <c r="A2144" i="1"/>
  <c r="B2144" i="1"/>
  <c r="A2145" i="1"/>
  <c r="B2145" i="1"/>
  <c r="A2146" i="1"/>
  <c r="B2146" i="1"/>
  <c r="A2147" i="1"/>
  <c r="B2147" i="1"/>
  <c r="A2148" i="1"/>
  <c r="A2149" i="1"/>
  <c r="A2150" i="1"/>
  <c r="B2150" i="1"/>
  <c r="A2151" i="1"/>
  <c r="A2152" i="1"/>
  <c r="B2152" i="1"/>
  <c r="A2153" i="1"/>
  <c r="B2153" i="1"/>
  <c r="A2154" i="1"/>
  <c r="B2154" i="1"/>
  <c r="A2155" i="1"/>
  <c r="B2155" i="1"/>
  <c r="A2156" i="1"/>
  <c r="A2157" i="1"/>
  <c r="B2157" i="1"/>
  <c r="A2158" i="1"/>
  <c r="B2158" i="1"/>
  <c r="A2159" i="1"/>
  <c r="A2160" i="1"/>
  <c r="B2160" i="1"/>
  <c r="A2161" i="1"/>
  <c r="B2161" i="1"/>
  <c r="A2162" i="1"/>
  <c r="B2162" i="1"/>
  <c r="A2163" i="1"/>
  <c r="A2164" i="1"/>
  <c r="A2165" i="1"/>
  <c r="A2166" i="1"/>
  <c r="B2166" i="1"/>
  <c r="A2167" i="1"/>
  <c r="A2168" i="1"/>
  <c r="A2169" i="1"/>
  <c r="A2170" i="1"/>
  <c r="B2170" i="1"/>
  <c r="A2171" i="1"/>
  <c r="B2171" i="1"/>
  <c r="A2172" i="1"/>
  <c r="B2172" i="1"/>
  <c r="A2173" i="1"/>
  <c r="A2174" i="1"/>
  <c r="B2174" i="1"/>
  <c r="A2175" i="1"/>
  <c r="B2175" i="1"/>
  <c r="A2176" i="1"/>
  <c r="B2176" i="1"/>
  <c r="A2177" i="1"/>
  <c r="B2177" i="1"/>
  <c r="A2178" i="1"/>
  <c r="B2178" i="1"/>
  <c r="A2179" i="1"/>
  <c r="B2179" i="1"/>
  <c r="A2180" i="1"/>
  <c r="B2180" i="1"/>
  <c r="A2181" i="1"/>
  <c r="A2182" i="1"/>
  <c r="A2183" i="1"/>
  <c r="B2183" i="1"/>
  <c r="A2184" i="1"/>
  <c r="B2184" i="1"/>
  <c r="A2185" i="1"/>
  <c r="B2185" i="1"/>
  <c r="A2186" i="1"/>
  <c r="B2186" i="1"/>
  <c r="A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B2200" i="1"/>
  <c r="A2201" i="1"/>
  <c r="B2201" i="1"/>
  <c r="A2202" i="1"/>
  <c r="B2202" i="1"/>
  <c r="A2203" i="1"/>
  <c r="A2204" i="1"/>
  <c r="A2205" i="1"/>
  <c r="B2205" i="1"/>
  <c r="A2206" i="1"/>
  <c r="B2206" i="1"/>
  <c r="A2207" i="1"/>
  <c r="B2207" i="1"/>
  <c r="A2208" i="1"/>
  <c r="B2208" i="1"/>
  <c r="A2209" i="1"/>
  <c r="B2209" i="1"/>
  <c r="A2210" i="1"/>
  <c r="A2211" i="1"/>
  <c r="A2212" i="1"/>
  <c r="B2212" i="1"/>
  <c r="A2213" i="1"/>
  <c r="B2213" i="1"/>
  <c r="A2214" i="1"/>
  <c r="B2214" i="1"/>
  <c r="A2215" i="1"/>
  <c r="B2215" i="1"/>
  <c r="A2216" i="1"/>
  <c r="B2216" i="1"/>
  <c r="A2217" i="1"/>
  <c r="A2218" i="1"/>
  <c r="B2218" i="1"/>
  <c r="A2219" i="1"/>
  <c r="B2219" i="1"/>
  <c r="A2220" i="1"/>
  <c r="B2220" i="1"/>
  <c r="A2221" i="1"/>
  <c r="B2221" i="1"/>
  <c r="A2222" i="1"/>
  <c r="B2222" i="1"/>
  <c r="A2223" i="1"/>
  <c r="B2223" i="1"/>
  <c r="A2224" i="1"/>
  <c r="B2224" i="1"/>
  <c r="A2225" i="1"/>
  <c r="A2226" i="1"/>
  <c r="B2226" i="1"/>
  <c r="A2227" i="1"/>
  <c r="B2227" i="1"/>
  <c r="A2228" i="1"/>
  <c r="B2228" i="1"/>
  <c r="A2229" i="1"/>
  <c r="B2229" i="1"/>
  <c r="A2230" i="1"/>
  <c r="A2231" i="1"/>
  <c r="A2232" i="1"/>
  <c r="A2233" i="1"/>
  <c r="B2233" i="1"/>
  <c r="A2234" i="1"/>
  <c r="B2234" i="1"/>
  <c r="A2235" i="1"/>
  <c r="A2236" i="1"/>
  <c r="A2237" i="1"/>
  <c r="A2238" i="1"/>
  <c r="B2238" i="1"/>
  <c r="A2239" i="1"/>
  <c r="A2240" i="1"/>
  <c r="B2240" i="1"/>
  <c r="A2241" i="1"/>
  <c r="B2241" i="1"/>
  <c r="A2242" i="1"/>
  <c r="B2242" i="1"/>
  <c r="A2243" i="1"/>
  <c r="B2243" i="1"/>
  <c r="A2244" i="1"/>
  <c r="B2244" i="1"/>
  <c r="A2245" i="1"/>
  <c r="B2245" i="1"/>
  <c r="A2246" i="1"/>
  <c r="B2246" i="1"/>
  <c r="A2247" i="1"/>
  <c r="B2247" i="1"/>
  <c r="A2248" i="1"/>
  <c r="B2248" i="1"/>
  <c r="A2249" i="1"/>
  <c r="B2249" i="1"/>
  <c r="A2250" i="1"/>
  <c r="B2250" i="1"/>
  <c r="A2251" i="1"/>
  <c r="B2251" i="1"/>
  <c r="A2252" i="1"/>
  <c r="B2252" i="1"/>
  <c r="A2253" i="1"/>
  <c r="B2253" i="1"/>
  <c r="A2254" i="1"/>
  <c r="B2254" i="1"/>
  <c r="A2255" i="1"/>
  <c r="B2255" i="1"/>
  <c r="A2256" i="1"/>
  <c r="B2256" i="1"/>
  <c r="A2257" i="1"/>
  <c r="B2257" i="1"/>
  <c r="A2258" i="1"/>
  <c r="B2258" i="1"/>
  <c r="A2259" i="1"/>
  <c r="B2259" i="1"/>
  <c r="A2260" i="1"/>
  <c r="A2261" i="1"/>
  <c r="B2261" i="1"/>
  <c r="A2262" i="1"/>
  <c r="A2263" i="1"/>
  <c r="B2263" i="1"/>
  <c r="A2264" i="1"/>
  <c r="B2264" i="1"/>
  <c r="A2265" i="1"/>
  <c r="B2265" i="1"/>
  <c r="A2266" i="1"/>
  <c r="B2266" i="1"/>
  <c r="A2267" i="1"/>
  <c r="A2268" i="1"/>
  <c r="B2268" i="1"/>
  <c r="A2269" i="1"/>
  <c r="B2269" i="1"/>
  <c r="A2270" i="1"/>
  <c r="A2271" i="1"/>
  <c r="B2271" i="1"/>
  <c r="A2272" i="1"/>
  <c r="B2272" i="1"/>
  <c r="A2273" i="1"/>
  <c r="B2273" i="1"/>
  <c r="A2274" i="1"/>
  <c r="B2274" i="1"/>
  <c r="A2275" i="1"/>
  <c r="B2275" i="1"/>
  <c r="A2276" i="1"/>
  <c r="B2276" i="1"/>
  <c r="A2277" i="1"/>
  <c r="B2277" i="1"/>
  <c r="A2278" i="1"/>
  <c r="B2278" i="1"/>
  <c r="A2279" i="1"/>
  <c r="B2279" i="1"/>
  <c r="A2280" i="1"/>
  <c r="B2280" i="1"/>
  <c r="A2281" i="1"/>
  <c r="B2281" i="1"/>
  <c r="A2282" i="1"/>
  <c r="A2283" i="1"/>
  <c r="B2283" i="1"/>
  <c r="A2284" i="1"/>
  <c r="B2284" i="1"/>
  <c r="A2285" i="1"/>
  <c r="B2285" i="1"/>
  <c r="A2286" i="1"/>
  <c r="B2286" i="1"/>
  <c r="A2287" i="1"/>
  <c r="B2287" i="1"/>
  <c r="A2288" i="1"/>
  <c r="A2289" i="1"/>
  <c r="B2289" i="1"/>
  <c r="A2290" i="1"/>
  <c r="B2290" i="1"/>
  <c r="A2291" i="1"/>
  <c r="B2291" i="1"/>
  <c r="A2292" i="1"/>
  <c r="B2292" i="1"/>
  <c r="A2293" i="1"/>
  <c r="B2293" i="1"/>
  <c r="A2294" i="1"/>
  <c r="B2294" i="1"/>
  <c r="A2295" i="1"/>
  <c r="B2295" i="1"/>
  <c r="A2296" i="1"/>
  <c r="A2297" i="1"/>
  <c r="B2297" i="1"/>
  <c r="A2298" i="1"/>
  <c r="B2298" i="1"/>
  <c r="A2299" i="1"/>
  <c r="B2299" i="1"/>
  <c r="A2300" i="1"/>
  <c r="B2300" i="1"/>
  <c r="A2301" i="1"/>
  <c r="B2301" i="1"/>
  <c r="A2302" i="1"/>
  <c r="B2302" i="1"/>
  <c r="A2303" i="1"/>
  <c r="A2304" i="1"/>
  <c r="A2305" i="1"/>
  <c r="B2305" i="1"/>
  <c r="A2306" i="1"/>
  <c r="A2307" i="1"/>
  <c r="A2308" i="1"/>
  <c r="B2308" i="1"/>
  <c r="A2309" i="1"/>
  <c r="B2309" i="1"/>
  <c r="A2310" i="1"/>
  <c r="B2310" i="1"/>
  <c r="A2311" i="1"/>
  <c r="B2311" i="1"/>
  <c r="A2312" i="1"/>
  <c r="B2312" i="1"/>
  <c r="A2313" i="1"/>
  <c r="B2313" i="1"/>
  <c r="A2314" i="1"/>
  <c r="B2314" i="1"/>
  <c r="A2315" i="1"/>
  <c r="A2316" i="1"/>
  <c r="B2316" i="1"/>
  <c r="A2317" i="1"/>
  <c r="B2317" i="1"/>
  <c r="A2318" i="1"/>
  <c r="B2318" i="1"/>
  <c r="A2319" i="1"/>
  <c r="B2319" i="1"/>
  <c r="A2320" i="1"/>
  <c r="B2320" i="1"/>
  <c r="A2321" i="1"/>
  <c r="B2321" i="1"/>
  <c r="A2322" i="1"/>
  <c r="B2322" i="1"/>
  <c r="A2323" i="1"/>
  <c r="B2323" i="1"/>
  <c r="A2324" i="1"/>
  <c r="A2325" i="1"/>
  <c r="B2325" i="1"/>
  <c r="A2326" i="1"/>
  <c r="A2327" i="1"/>
  <c r="B2327" i="1"/>
  <c r="A2328" i="1"/>
  <c r="A2329" i="1"/>
  <c r="B2329" i="1"/>
  <c r="A2330" i="1"/>
  <c r="B2330" i="1"/>
  <c r="A2331" i="1"/>
  <c r="B2331" i="1"/>
  <c r="A2332" i="1"/>
  <c r="B2332" i="1"/>
  <c r="A2333" i="1"/>
  <c r="B2333" i="1"/>
  <c r="A2334" i="1"/>
  <c r="B2334" i="1"/>
  <c r="A2335" i="1"/>
  <c r="B2335" i="1"/>
  <c r="A2336" i="1"/>
  <c r="B2336" i="1"/>
  <c r="A2337" i="1"/>
  <c r="B2337" i="1"/>
  <c r="A2338" i="1"/>
  <c r="B2338" i="1"/>
  <c r="A2339" i="1"/>
  <c r="A2340" i="1"/>
  <c r="B2340" i="1"/>
  <c r="A2341" i="1"/>
  <c r="B2341" i="1"/>
  <c r="A2342" i="1"/>
  <c r="B2342" i="1"/>
  <c r="A2343" i="1"/>
  <c r="A2344" i="1"/>
  <c r="B2344" i="1"/>
  <c r="A2345" i="1"/>
  <c r="B2345" i="1"/>
  <c r="A2346" i="1"/>
  <c r="B2346" i="1"/>
  <c r="A2347" i="1"/>
  <c r="B2347" i="1"/>
  <c r="A2348" i="1"/>
  <c r="B2348" i="1"/>
  <c r="A2349" i="1"/>
  <c r="B2349" i="1"/>
  <c r="A2350" i="1"/>
  <c r="B2350" i="1"/>
  <c r="A2351" i="1"/>
  <c r="B2351" i="1"/>
  <c r="A2352" i="1"/>
  <c r="B2352" i="1"/>
  <c r="A2353" i="1"/>
  <c r="A2354" i="1"/>
  <c r="B2354" i="1"/>
  <c r="A2355" i="1"/>
  <c r="B2355" i="1"/>
  <c r="A2356" i="1"/>
  <c r="B2356" i="1"/>
  <c r="A2357" i="1"/>
  <c r="B2357" i="1"/>
  <c r="A2358" i="1"/>
  <c r="B2358" i="1"/>
  <c r="A2359" i="1"/>
  <c r="B2359" i="1"/>
  <c r="A2360" i="1"/>
  <c r="A2361" i="1"/>
  <c r="B2361" i="1"/>
  <c r="A2362" i="1"/>
  <c r="B2362" i="1"/>
  <c r="A2363" i="1"/>
  <c r="B2363" i="1"/>
  <c r="A2364" i="1"/>
  <c r="B2364" i="1"/>
  <c r="A2365" i="1"/>
  <c r="B2365" i="1"/>
  <c r="A2366" i="1"/>
  <c r="B2366" i="1"/>
  <c r="A2367" i="1"/>
  <c r="B2367" i="1"/>
  <c r="A2368" i="1"/>
  <c r="B2368" i="1"/>
  <c r="A2369" i="1"/>
  <c r="B2369" i="1"/>
  <c r="A2370" i="1"/>
  <c r="B2370" i="1"/>
  <c r="A2371" i="1"/>
  <c r="B2371" i="1"/>
  <c r="A2372" i="1"/>
  <c r="B2372" i="1"/>
  <c r="A2373" i="1"/>
  <c r="B2373" i="1"/>
  <c r="A2374" i="1"/>
  <c r="B2374" i="1"/>
  <c r="A2375" i="1"/>
  <c r="B2375" i="1"/>
  <c r="A2376" i="1"/>
  <c r="B2376" i="1"/>
  <c r="A2377" i="1"/>
  <c r="B2377" i="1"/>
  <c r="A2378" i="1"/>
  <c r="B2378" i="1"/>
  <c r="A2379" i="1"/>
  <c r="B2379" i="1"/>
  <c r="A2380" i="1"/>
  <c r="B2380" i="1"/>
  <c r="A2381" i="1"/>
  <c r="B2381" i="1"/>
  <c r="A2382" i="1"/>
  <c r="B2382" i="1"/>
  <c r="A2383" i="1"/>
  <c r="B2383" i="1"/>
  <c r="A2384" i="1"/>
  <c r="B2384" i="1"/>
  <c r="A2385" i="1"/>
  <c r="B2385" i="1"/>
  <c r="A2386" i="1"/>
  <c r="A2387" i="1"/>
  <c r="B2387" i="1"/>
  <c r="A2388" i="1"/>
  <c r="A2389" i="1"/>
  <c r="A2390" i="1"/>
  <c r="B2390" i="1"/>
  <c r="A2391" i="1"/>
  <c r="A2392" i="1"/>
  <c r="B2392" i="1"/>
  <c r="A2393" i="1"/>
  <c r="B2393" i="1"/>
  <c r="A2394" i="1"/>
  <c r="B2394" i="1"/>
  <c r="A2395" i="1"/>
  <c r="B2395" i="1"/>
  <c r="A2396" i="1"/>
  <c r="A2397" i="1"/>
  <c r="A2398" i="1"/>
  <c r="B2398" i="1"/>
  <c r="A2399" i="1"/>
  <c r="B2399" i="1"/>
  <c r="A2400" i="1"/>
  <c r="B2400" i="1"/>
  <c r="A2401" i="1"/>
  <c r="A2402" i="1"/>
  <c r="B2402" i="1"/>
  <c r="A2403" i="1"/>
  <c r="B2403" i="1"/>
  <c r="A2404" i="1"/>
  <c r="A2405" i="1"/>
  <c r="B2405" i="1"/>
  <c r="A2406" i="1"/>
  <c r="A2407" i="1"/>
  <c r="A2408" i="1"/>
  <c r="B2408" i="1"/>
  <c r="A2409" i="1"/>
  <c r="A2410" i="1"/>
  <c r="B2410" i="1"/>
  <c r="A2411" i="1"/>
  <c r="B2411" i="1"/>
  <c r="A2412" i="1"/>
  <c r="B2412" i="1"/>
  <c r="A2413" i="1"/>
  <c r="B2413" i="1"/>
  <c r="A2414" i="1"/>
  <c r="B2414" i="1"/>
  <c r="A2415" i="1"/>
  <c r="B2415" i="1"/>
  <c r="A2416" i="1"/>
  <c r="B2416" i="1"/>
  <c r="A2417" i="1"/>
  <c r="B2417" i="1"/>
  <c r="A2418" i="1"/>
  <c r="A2419" i="1"/>
  <c r="B2419" i="1"/>
  <c r="A2420" i="1"/>
  <c r="B2420" i="1"/>
  <c r="A2421" i="1"/>
  <c r="B2421" i="1"/>
  <c r="A2422" i="1"/>
  <c r="B2422" i="1"/>
  <c r="A2423" i="1"/>
  <c r="B2423" i="1"/>
  <c r="A2424" i="1"/>
  <c r="A2425" i="1"/>
  <c r="B2425" i="1"/>
  <c r="A2426" i="1"/>
  <c r="B2426" i="1"/>
  <c r="A2427" i="1"/>
  <c r="B2427" i="1"/>
  <c r="A2428" i="1"/>
  <c r="A2429" i="1"/>
  <c r="B2429" i="1"/>
  <c r="A2430" i="1"/>
  <c r="A2431" i="1"/>
  <c r="A2432" i="1"/>
  <c r="B2432" i="1"/>
  <c r="A2433" i="1"/>
  <c r="B2433" i="1"/>
  <c r="A2434" i="1"/>
  <c r="B2434" i="1"/>
  <c r="A2435" i="1"/>
  <c r="B2435" i="1"/>
  <c r="A2436" i="1"/>
  <c r="B2436" i="1"/>
  <c r="A2437" i="1"/>
  <c r="B2437" i="1"/>
  <c r="A2438" i="1"/>
  <c r="A2439" i="1"/>
  <c r="A2440" i="1"/>
  <c r="B2440" i="1"/>
  <c r="A2441" i="1"/>
  <c r="B2441" i="1"/>
  <c r="A2442" i="1"/>
  <c r="B2442" i="1"/>
  <c r="A2443" i="1"/>
  <c r="B2443" i="1"/>
  <c r="A2444" i="1"/>
  <c r="B2444" i="1"/>
  <c r="A2445" i="1"/>
  <c r="B2445" i="1"/>
  <c r="A2446" i="1"/>
  <c r="B2446" i="1"/>
  <c r="A2447" i="1"/>
  <c r="B2447" i="1"/>
  <c r="A2448" i="1"/>
  <c r="B2448" i="1"/>
  <c r="A2449" i="1"/>
  <c r="B2449" i="1"/>
  <c r="A2450" i="1"/>
  <c r="B2450" i="1"/>
  <c r="A2451" i="1"/>
  <c r="B2451" i="1"/>
  <c r="A2452" i="1"/>
  <c r="A2453" i="1"/>
  <c r="B2453" i="1"/>
  <c r="A2454" i="1"/>
  <c r="B2454" i="1"/>
  <c r="A2455" i="1"/>
  <c r="B2455" i="1"/>
  <c r="A2456" i="1"/>
  <c r="A2457" i="1"/>
  <c r="B2457" i="1"/>
  <c r="A2458" i="1"/>
  <c r="B2458" i="1"/>
  <c r="A2459" i="1"/>
  <c r="B2459" i="1"/>
  <c r="A2460" i="1"/>
  <c r="A2461" i="1"/>
  <c r="B2461" i="1"/>
  <c r="A2462" i="1"/>
  <c r="B2462" i="1"/>
  <c r="A2463" i="1"/>
  <c r="B2463" i="1"/>
  <c r="A2464" i="1"/>
  <c r="B2464" i="1"/>
  <c r="A2465" i="1"/>
  <c r="A2466" i="1"/>
  <c r="B2466" i="1"/>
  <c r="A2467" i="1"/>
  <c r="B2467" i="1"/>
  <c r="A2468" i="1"/>
  <c r="A2469" i="1"/>
  <c r="A2470" i="1"/>
  <c r="B2470" i="1"/>
  <c r="A2471" i="1"/>
  <c r="B2471" i="1"/>
  <c r="A2472" i="1"/>
  <c r="B2472" i="1"/>
  <c r="A2473" i="1"/>
  <c r="B2473" i="1"/>
  <c r="A2474" i="1"/>
  <c r="B2474" i="1"/>
  <c r="A2475" i="1"/>
  <c r="B2475" i="1"/>
  <c r="A2476" i="1"/>
  <c r="A2477" i="1"/>
  <c r="B2477" i="1"/>
  <c r="A2478" i="1"/>
  <c r="A2479" i="1"/>
  <c r="A2480" i="1"/>
  <c r="B2480" i="1"/>
  <c r="A2481" i="1"/>
  <c r="B2481" i="1"/>
  <c r="A2482" i="1"/>
  <c r="B2482" i="1"/>
  <c r="A2483" i="1"/>
  <c r="B2483" i="1"/>
  <c r="A2484" i="1"/>
  <c r="B2484" i="1"/>
  <c r="A2485" i="1"/>
  <c r="B2485" i="1"/>
  <c r="A2486" i="1"/>
  <c r="B2486" i="1"/>
  <c r="A2487" i="1"/>
  <c r="B2487" i="1"/>
  <c r="A2488" i="1"/>
  <c r="B2488" i="1"/>
  <c r="A2489" i="1"/>
  <c r="B2489" i="1"/>
  <c r="A2490" i="1"/>
  <c r="B2490" i="1"/>
  <c r="A2491" i="1"/>
  <c r="B2491" i="1"/>
  <c r="A2492" i="1"/>
  <c r="B2492" i="1"/>
  <c r="A2493" i="1"/>
  <c r="B2493" i="1"/>
  <c r="A2494" i="1"/>
  <c r="B2494" i="1"/>
  <c r="A2495" i="1"/>
  <c r="B2495" i="1"/>
  <c r="A2496" i="1"/>
  <c r="A2497" i="1"/>
  <c r="B2497" i="1"/>
  <c r="A2498" i="1"/>
  <c r="B2498" i="1"/>
  <c r="A2499" i="1"/>
  <c r="B2499" i="1"/>
  <c r="A2500" i="1"/>
  <c r="A2501" i="1"/>
  <c r="B2501" i="1"/>
  <c r="A2502" i="1"/>
  <c r="B2502" i="1"/>
  <c r="A2503" i="1"/>
  <c r="A2504" i="1"/>
  <c r="B2504" i="1"/>
  <c r="A2505" i="1"/>
  <c r="B2505" i="1"/>
  <c r="A2506" i="1"/>
  <c r="B2506" i="1"/>
  <c r="A2507" i="1"/>
  <c r="B2507" i="1"/>
  <c r="A2508" i="1"/>
  <c r="B2508" i="1"/>
  <c r="A2509" i="1"/>
  <c r="B2509" i="1"/>
  <c r="A2510" i="1"/>
  <c r="B2510" i="1"/>
  <c r="A2511" i="1"/>
  <c r="A2512" i="1"/>
  <c r="B2512" i="1"/>
  <c r="A2513" i="1"/>
  <c r="B2513" i="1"/>
  <c r="A2514" i="1"/>
  <c r="B2514" i="1"/>
  <c r="A2515" i="1"/>
  <c r="A2516" i="1"/>
  <c r="A2517" i="1"/>
  <c r="B2517" i="1"/>
  <c r="A2518" i="1"/>
  <c r="B2518" i="1"/>
  <c r="A2519" i="1"/>
  <c r="B2519" i="1"/>
  <c r="A2520" i="1"/>
  <c r="B2520" i="1"/>
  <c r="A2521" i="1"/>
  <c r="B2521" i="1"/>
  <c r="A2522" i="1"/>
  <c r="B2522" i="1"/>
  <c r="A2523" i="1"/>
  <c r="B2523" i="1"/>
  <c r="A2524" i="1"/>
  <c r="A2525" i="1"/>
  <c r="B2525" i="1"/>
  <c r="A2526" i="1"/>
  <c r="A2527" i="1"/>
  <c r="B2527" i="1"/>
  <c r="A2528" i="1"/>
  <c r="B2528" i="1"/>
  <c r="A2529" i="1"/>
  <c r="B2529" i="1"/>
  <c r="A2530" i="1"/>
  <c r="B2530" i="1"/>
  <c r="A2531" i="1"/>
  <c r="B2531" i="1"/>
  <c r="A2532" i="1"/>
  <c r="B2532" i="1"/>
  <c r="A2533" i="1"/>
  <c r="B2533" i="1"/>
  <c r="A2534" i="1"/>
  <c r="B2534" i="1"/>
  <c r="A2535" i="1"/>
  <c r="B2535" i="1"/>
  <c r="A2536" i="1"/>
  <c r="B2536" i="1"/>
  <c r="A2537" i="1"/>
  <c r="B2537" i="1"/>
  <c r="A2538" i="1"/>
  <c r="B2538" i="1"/>
  <c r="A2539" i="1"/>
  <c r="A2540" i="1"/>
  <c r="B2540" i="1"/>
  <c r="A2541" i="1"/>
  <c r="A2542" i="1"/>
  <c r="B2542" i="1"/>
  <c r="A2543" i="1"/>
  <c r="A2544" i="1"/>
  <c r="B2544" i="1"/>
  <c r="A2545" i="1"/>
  <c r="B2545" i="1"/>
  <c r="A2546" i="1"/>
  <c r="A2547" i="1"/>
  <c r="B2547" i="1"/>
  <c r="A2548" i="1"/>
  <c r="B2548" i="1"/>
  <c r="A2549" i="1"/>
  <c r="B2549" i="1"/>
  <c r="A2550" i="1"/>
  <c r="B2550" i="1"/>
  <c r="A2551" i="1"/>
  <c r="B2551" i="1"/>
  <c r="A2552" i="1"/>
  <c r="A2553" i="1"/>
  <c r="B2553" i="1"/>
  <c r="A2554" i="1"/>
  <c r="B2554" i="1"/>
  <c r="A2555" i="1"/>
  <c r="A2556" i="1"/>
  <c r="B2556" i="1"/>
  <c r="A2557" i="1"/>
  <c r="B2557" i="1"/>
  <c r="A2558" i="1"/>
  <c r="B2558" i="1"/>
  <c r="A2559" i="1"/>
  <c r="B2559" i="1"/>
  <c r="A2560" i="1"/>
  <c r="B2560" i="1"/>
  <c r="A2561" i="1"/>
  <c r="B2561" i="1"/>
  <c r="A2562" i="1"/>
  <c r="B2562" i="1"/>
  <c r="A2563" i="1"/>
  <c r="B2563" i="1"/>
  <c r="A2564" i="1"/>
  <c r="B2564" i="1"/>
  <c r="A2565" i="1"/>
  <c r="B2565" i="1"/>
  <c r="A2566" i="1"/>
  <c r="B2566" i="1"/>
  <c r="A2567" i="1"/>
  <c r="B2567" i="1"/>
  <c r="A2568" i="1"/>
  <c r="B2568" i="1"/>
  <c r="A2569" i="1"/>
  <c r="B2569" i="1"/>
  <c r="A2570" i="1"/>
  <c r="B2570" i="1"/>
  <c r="A2571" i="1"/>
  <c r="B2571" i="1"/>
  <c r="A2572" i="1"/>
  <c r="B2572" i="1"/>
  <c r="A2573" i="1"/>
  <c r="A2574" i="1"/>
  <c r="A2575" i="1"/>
  <c r="A2576" i="1"/>
  <c r="A2577" i="1"/>
  <c r="A2578" i="1"/>
  <c r="A2579" i="1"/>
  <c r="A2580" i="1"/>
  <c r="B2580" i="1"/>
  <c r="A2581" i="1"/>
  <c r="A2582" i="1"/>
  <c r="A2583" i="1"/>
  <c r="A2584" i="1"/>
  <c r="A2585" i="1"/>
  <c r="A2586" i="1"/>
  <c r="B2586" i="1"/>
  <c r="A2587" i="1"/>
  <c r="B2587" i="1"/>
  <c r="A2588" i="1"/>
  <c r="A2589" i="1"/>
  <c r="B2589" i="1"/>
  <c r="A2590" i="1"/>
  <c r="B2590" i="1"/>
  <c r="A2591" i="1"/>
  <c r="A2592" i="1"/>
  <c r="B2592" i="1"/>
  <c r="A2593" i="1"/>
  <c r="B2593" i="1"/>
  <c r="A2594" i="1"/>
  <c r="B2594" i="1"/>
  <c r="A2595" i="1"/>
  <c r="A2596" i="1"/>
  <c r="B2596" i="1"/>
  <c r="A2597" i="1"/>
  <c r="B2597" i="1"/>
  <c r="A2598" i="1"/>
  <c r="B2598" i="1"/>
  <c r="A2599" i="1"/>
  <c r="B2599" i="1"/>
  <c r="A2600" i="1"/>
  <c r="B2600" i="1"/>
  <c r="A2601" i="1"/>
  <c r="B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B2616" i="1"/>
  <c r="A2617" i="1"/>
  <c r="B2617" i="1"/>
  <c r="A2618" i="1"/>
  <c r="B2618" i="1"/>
  <c r="A2619" i="1"/>
  <c r="B2619" i="1"/>
  <c r="A2620" i="1"/>
  <c r="B2620" i="1"/>
  <c r="A2621" i="1"/>
  <c r="B2621" i="1"/>
  <c r="A2622" i="1"/>
  <c r="B2622" i="1"/>
  <c r="A2623" i="1"/>
  <c r="B2623" i="1"/>
  <c r="A2624" i="1"/>
  <c r="B2624" i="1"/>
  <c r="A2625" i="1"/>
  <c r="A2626" i="1"/>
  <c r="B2626" i="1"/>
  <c r="A2627" i="1"/>
  <c r="B2627" i="1"/>
  <c r="A2628" i="1"/>
  <c r="B2628" i="1"/>
  <c r="A2629" i="1"/>
  <c r="B2629" i="1"/>
  <c r="A2630" i="1"/>
  <c r="B2630" i="1"/>
  <c r="A2631" i="1"/>
  <c r="B2631" i="1"/>
  <c r="A2632" i="1"/>
  <c r="B2632" i="1"/>
  <c r="A2633" i="1"/>
  <c r="B2633" i="1"/>
  <c r="A2634" i="1"/>
  <c r="B2634" i="1"/>
  <c r="A2635" i="1"/>
  <c r="B2635" i="1"/>
  <c r="A2636" i="1"/>
  <c r="A2637" i="1"/>
  <c r="A2638" i="1"/>
  <c r="B2638" i="1"/>
  <c r="A2639" i="1"/>
  <c r="B2639" i="1"/>
  <c r="A2640" i="1"/>
  <c r="B2640" i="1"/>
  <c r="A2641" i="1"/>
  <c r="B2641" i="1"/>
  <c r="A2642" i="1"/>
  <c r="B2642" i="1"/>
  <c r="A2643" i="1"/>
  <c r="B2643" i="1"/>
  <c r="A2644" i="1"/>
  <c r="B2644" i="1"/>
  <c r="A2645" i="1"/>
  <c r="B2645" i="1"/>
  <c r="A2646" i="1"/>
  <c r="A2647" i="1"/>
  <c r="B2647" i="1"/>
  <c r="A2648" i="1"/>
  <c r="B2648" i="1"/>
  <c r="A2649" i="1"/>
  <c r="B2649" i="1"/>
  <c r="A2650" i="1"/>
  <c r="B2650" i="1"/>
  <c r="A2651" i="1"/>
  <c r="B2651" i="1"/>
  <c r="A2652" i="1"/>
  <c r="B2652" i="1"/>
  <c r="A2653" i="1"/>
  <c r="B2653" i="1"/>
  <c r="A2654" i="1"/>
  <c r="A2655" i="1"/>
  <c r="B2655" i="1"/>
  <c r="A2656" i="1"/>
  <c r="B2656" i="1"/>
  <c r="A2657" i="1"/>
  <c r="B2657" i="1"/>
  <c r="A2658" i="1"/>
  <c r="B2658" i="1"/>
  <c r="A2659" i="1"/>
  <c r="B2659" i="1"/>
  <c r="A2660" i="1"/>
  <c r="B2660" i="1"/>
  <c r="A2661" i="1"/>
  <c r="B2661" i="1"/>
  <c r="A2662" i="1"/>
  <c r="B2662" i="1"/>
  <c r="A2663" i="1"/>
  <c r="B2663" i="1"/>
  <c r="A2664" i="1"/>
  <c r="B2664" i="1"/>
  <c r="A2665" i="1"/>
  <c r="B2665" i="1"/>
  <c r="A2666" i="1"/>
  <c r="B2666" i="1"/>
  <c r="A2667" i="1"/>
  <c r="B2667" i="1"/>
  <c r="A2668" i="1"/>
  <c r="B2668" i="1"/>
  <c r="A2669" i="1"/>
  <c r="B2669" i="1"/>
  <c r="A2670" i="1"/>
  <c r="B2670" i="1"/>
  <c r="A2671" i="1"/>
  <c r="B2671" i="1"/>
  <c r="A2672" i="1"/>
  <c r="B2672" i="1"/>
  <c r="A2673" i="1"/>
  <c r="B2673" i="1"/>
  <c r="A2674" i="1"/>
  <c r="B2674" i="1"/>
  <c r="A2675" i="1"/>
  <c r="B2675" i="1"/>
  <c r="A2676" i="1"/>
  <c r="B2676" i="1"/>
  <c r="A2677" i="1"/>
  <c r="B2677" i="1"/>
  <c r="A2678" i="1"/>
  <c r="B2678" i="1"/>
  <c r="A2679" i="1"/>
  <c r="A2680" i="1"/>
  <c r="B2680" i="1"/>
  <c r="A2681" i="1"/>
  <c r="B2681" i="1"/>
  <c r="A2682" i="1"/>
  <c r="B2682" i="1"/>
  <c r="A2683" i="1"/>
  <c r="B2683" i="1"/>
  <c r="A2684" i="1"/>
  <c r="B2684" i="1"/>
  <c r="A2685" i="1"/>
  <c r="B2685" i="1"/>
  <c r="A2686" i="1"/>
  <c r="B2686" i="1"/>
  <c r="A2687" i="1"/>
  <c r="B2687" i="1"/>
  <c r="A2688" i="1"/>
  <c r="B2688" i="1"/>
  <c r="A2689" i="1"/>
  <c r="B2689" i="1"/>
  <c r="A2690" i="1"/>
  <c r="B2690" i="1"/>
  <c r="A2691" i="1"/>
  <c r="B2691" i="1"/>
  <c r="A2692" i="1"/>
  <c r="A2693" i="1"/>
  <c r="B2693" i="1"/>
  <c r="A2694" i="1"/>
  <c r="A2695" i="1"/>
  <c r="B2695" i="1"/>
  <c r="A2696" i="1"/>
  <c r="B2696" i="1"/>
  <c r="A2697" i="1"/>
  <c r="B2697" i="1"/>
  <c r="A2698" i="1"/>
  <c r="B2698" i="1"/>
  <c r="A2699" i="1"/>
  <c r="B2699" i="1"/>
  <c r="A2700" i="1"/>
  <c r="B2700" i="1"/>
  <c r="A2701" i="1"/>
  <c r="B2701" i="1"/>
  <c r="A2702" i="1"/>
  <c r="B2702" i="1"/>
  <c r="A2703" i="1"/>
  <c r="B2703" i="1"/>
  <c r="A2704" i="1"/>
  <c r="B2704" i="1"/>
  <c r="A2705" i="1"/>
  <c r="B2705" i="1"/>
  <c r="A2706" i="1"/>
  <c r="B2706" i="1"/>
  <c r="A2707" i="1"/>
  <c r="B2707" i="1"/>
  <c r="A2708" i="1"/>
  <c r="B2708" i="1"/>
  <c r="A2709" i="1"/>
  <c r="B2709" i="1"/>
  <c r="A2710" i="1"/>
  <c r="B2710" i="1"/>
  <c r="A2711" i="1"/>
  <c r="B2711" i="1"/>
  <c r="A2712" i="1"/>
  <c r="B2712" i="1"/>
  <c r="A2713" i="1"/>
  <c r="B2713" i="1"/>
  <c r="A2714" i="1"/>
  <c r="B2714" i="1"/>
  <c r="A2715" i="1"/>
  <c r="B2715" i="1"/>
  <c r="A2716" i="1"/>
  <c r="B2716" i="1"/>
  <c r="A2717" i="1"/>
  <c r="B2717" i="1"/>
  <c r="A2718" i="1"/>
  <c r="B2718" i="1"/>
  <c r="A2719" i="1"/>
  <c r="B2719" i="1"/>
  <c r="A2720" i="1"/>
  <c r="B2720" i="1"/>
  <c r="A2721" i="1"/>
  <c r="B2721" i="1"/>
  <c r="A2722" i="1"/>
  <c r="B2722" i="1"/>
  <c r="A2723" i="1"/>
  <c r="B2723" i="1"/>
  <c r="A2724" i="1"/>
  <c r="B2724" i="1"/>
  <c r="A2725" i="1"/>
  <c r="B2725" i="1"/>
  <c r="A2726" i="1"/>
  <c r="B2726" i="1"/>
  <c r="A2727" i="1"/>
  <c r="B2727" i="1"/>
  <c r="A2728" i="1"/>
  <c r="B2728" i="1"/>
  <c r="A2729" i="1"/>
  <c r="B2729" i="1"/>
  <c r="A2730" i="1"/>
  <c r="B2730" i="1"/>
  <c r="A2731" i="1"/>
  <c r="B2731" i="1"/>
  <c r="A2732" i="1"/>
  <c r="B2732" i="1"/>
  <c r="A2733" i="1"/>
  <c r="B2733" i="1"/>
  <c r="A2734" i="1"/>
  <c r="B2734" i="1"/>
  <c r="A2735" i="1"/>
  <c r="B2735" i="1"/>
  <c r="A2736" i="1"/>
  <c r="A2737" i="1"/>
  <c r="B2737" i="1"/>
  <c r="A2738" i="1"/>
  <c r="B2738" i="1"/>
  <c r="A2739" i="1"/>
  <c r="B2739" i="1"/>
  <c r="A2740" i="1"/>
  <c r="B2740" i="1"/>
  <c r="A2741" i="1"/>
  <c r="B2741" i="1"/>
  <c r="A2742" i="1"/>
  <c r="B2742" i="1"/>
  <c r="A2743" i="1"/>
  <c r="B2743" i="1"/>
  <c r="A2744" i="1"/>
  <c r="B2744" i="1"/>
  <c r="A2745" i="1"/>
  <c r="B2745" i="1"/>
  <c r="A2746" i="1"/>
  <c r="A2747" i="1"/>
  <c r="A2748" i="1"/>
  <c r="A2749" i="1"/>
  <c r="A2750" i="1"/>
  <c r="A2751" i="1"/>
  <c r="B2751" i="1"/>
  <c r="A2752" i="1"/>
  <c r="B2752" i="1"/>
  <c r="A2753" i="1"/>
  <c r="B2753" i="1"/>
  <c r="A2754" i="1"/>
  <c r="B2754" i="1"/>
  <c r="A2755" i="1"/>
  <c r="B2755" i="1"/>
  <c r="A2756" i="1"/>
  <c r="A2757" i="1"/>
  <c r="B2757" i="1"/>
  <c r="A2758" i="1"/>
  <c r="B2758" i="1"/>
  <c r="A2759" i="1"/>
  <c r="B2759" i="1"/>
  <c r="A2760" i="1"/>
  <c r="B2760" i="1"/>
  <c r="A2761" i="1"/>
  <c r="A2762" i="1"/>
  <c r="A2763" i="1"/>
  <c r="A2764" i="1"/>
  <c r="B2764" i="1"/>
  <c r="A2765" i="1"/>
  <c r="B2765" i="1"/>
  <c r="A2766" i="1"/>
  <c r="B2766" i="1"/>
  <c r="A2767" i="1"/>
  <c r="B2767" i="1"/>
  <c r="A2768" i="1"/>
  <c r="A2769" i="1"/>
  <c r="B2769" i="1"/>
  <c r="A2770" i="1"/>
  <c r="B2770" i="1"/>
  <c r="A2771" i="1"/>
  <c r="B2771" i="1"/>
  <c r="A2772" i="1"/>
  <c r="B2772" i="1"/>
  <c r="A2773" i="1"/>
  <c r="B2773" i="1"/>
  <c r="A2774" i="1"/>
  <c r="B2774" i="1"/>
  <c r="A2775" i="1"/>
  <c r="A2776" i="1"/>
  <c r="B2776" i="1"/>
  <c r="A2777" i="1"/>
  <c r="B2777" i="1"/>
  <c r="A2778" i="1"/>
  <c r="B2778" i="1"/>
  <c r="A2779" i="1"/>
  <c r="B2779" i="1"/>
  <c r="A2780" i="1"/>
  <c r="B2780" i="1"/>
  <c r="A2781" i="1"/>
  <c r="B2781" i="1"/>
  <c r="A2782" i="1"/>
  <c r="A2783" i="1"/>
  <c r="A2784" i="1"/>
  <c r="A2785" i="1"/>
  <c r="A2786" i="1"/>
  <c r="B2786" i="1"/>
  <c r="A2787" i="1"/>
  <c r="B2787" i="1"/>
  <c r="A2788" i="1"/>
  <c r="B2788" i="1"/>
  <c r="A2789" i="1"/>
  <c r="B2789" i="1"/>
  <c r="A2790" i="1"/>
  <c r="A2791" i="1"/>
  <c r="B2791" i="1"/>
  <c r="A2792" i="1"/>
  <c r="B2792" i="1"/>
  <c r="A2793" i="1"/>
  <c r="B2793" i="1"/>
  <c r="A2794" i="1"/>
  <c r="B2794" i="1"/>
  <c r="A2795" i="1"/>
  <c r="B2795" i="1"/>
  <c r="A2796" i="1"/>
  <c r="B2796" i="1"/>
  <c r="A2797" i="1"/>
  <c r="B2797" i="1"/>
  <c r="A2798" i="1"/>
  <c r="B2798" i="1"/>
  <c r="A2799" i="1"/>
  <c r="B2799" i="1"/>
  <c r="A2800" i="1"/>
  <c r="A2801" i="1"/>
  <c r="A2802" i="1"/>
  <c r="B2802" i="1"/>
  <c r="A2803" i="1"/>
  <c r="B2803" i="1"/>
  <c r="A2804" i="1"/>
  <c r="B2804" i="1"/>
  <c r="A2805" i="1"/>
  <c r="B2805" i="1"/>
  <c r="A2806" i="1"/>
  <c r="B2806" i="1"/>
  <c r="A2807" i="1"/>
  <c r="B2807" i="1"/>
  <c r="A2808" i="1"/>
  <c r="B2808" i="1"/>
  <c r="A2809" i="1"/>
  <c r="B2809" i="1"/>
  <c r="A2810" i="1"/>
  <c r="B2810" i="1"/>
  <c r="A2811" i="1"/>
  <c r="B2811" i="1"/>
  <c r="A2812" i="1"/>
  <c r="B2812" i="1"/>
  <c r="A2813" i="1"/>
  <c r="B2813" i="1"/>
  <c r="A2814" i="1"/>
  <c r="B2814" i="1"/>
  <c r="A2815" i="1"/>
  <c r="A2816" i="1"/>
  <c r="B2816" i="1"/>
  <c r="A2817" i="1"/>
  <c r="B2817" i="1"/>
  <c r="A2818" i="1"/>
  <c r="B2818" i="1"/>
  <c r="A2819" i="1"/>
  <c r="B2819" i="1"/>
  <c r="A2820" i="1"/>
  <c r="B2820" i="1"/>
  <c r="A2821" i="1"/>
  <c r="B2821" i="1"/>
  <c r="A2822" i="1"/>
  <c r="B2822" i="1"/>
  <c r="A2823" i="1"/>
  <c r="B2823" i="1"/>
  <c r="A2824" i="1"/>
  <c r="B2824" i="1"/>
  <c r="A2825" i="1"/>
  <c r="A2826" i="1"/>
  <c r="B2826" i="1"/>
  <c r="A2827" i="1"/>
  <c r="B2827" i="1"/>
  <c r="A2828" i="1"/>
  <c r="B2828" i="1"/>
  <c r="A2829" i="1"/>
  <c r="B2829" i="1"/>
  <c r="A2830" i="1"/>
  <c r="B2830" i="1"/>
  <c r="A2831" i="1"/>
  <c r="B2831" i="1"/>
  <c r="A2832" i="1"/>
  <c r="A2833" i="1"/>
  <c r="A2834" i="1"/>
  <c r="A2835" i="1"/>
  <c r="B2835" i="1"/>
  <c r="A2836" i="1"/>
  <c r="B2836" i="1"/>
  <c r="A2837" i="1"/>
  <c r="A2838" i="1"/>
  <c r="A2839" i="1"/>
  <c r="B2839" i="1"/>
  <c r="A2840" i="1"/>
  <c r="B2840" i="1"/>
  <c r="A2841" i="1"/>
  <c r="A2842" i="1"/>
  <c r="B2842" i="1"/>
  <c r="A2843" i="1"/>
  <c r="A2844" i="1"/>
  <c r="B2844" i="1"/>
  <c r="A2845" i="1"/>
  <c r="B2845" i="1"/>
  <c r="A2846" i="1"/>
  <c r="B2846" i="1"/>
  <c r="A2847" i="1"/>
  <c r="A2848" i="1"/>
  <c r="B2848" i="1"/>
  <c r="A2849" i="1"/>
  <c r="B2849" i="1"/>
  <c r="A2850" i="1"/>
  <c r="B2850" i="1"/>
  <c r="A2851" i="1"/>
  <c r="B2851" i="1"/>
  <c r="A2852" i="1"/>
  <c r="A2853" i="1"/>
  <c r="A2854" i="1"/>
  <c r="B2854" i="1"/>
  <c r="A2855" i="1"/>
  <c r="A2856" i="1"/>
  <c r="A2857" i="1"/>
  <c r="B2857" i="1"/>
  <c r="A2858" i="1"/>
  <c r="B2858" i="1"/>
  <c r="A2859" i="1"/>
  <c r="B2859" i="1"/>
  <c r="A2860" i="1"/>
  <c r="B2860" i="1"/>
  <c r="A2861" i="1"/>
  <c r="B2861" i="1"/>
  <c r="A2862" i="1"/>
  <c r="B2862" i="1"/>
  <c r="A2863" i="1"/>
  <c r="A2864" i="1"/>
  <c r="A2865" i="1"/>
  <c r="B2865" i="1"/>
  <c r="A2866" i="1"/>
  <c r="B2866" i="1"/>
  <c r="A2867" i="1"/>
  <c r="B2867" i="1"/>
  <c r="A2868" i="1"/>
  <c r="A2869" i="1"/>
  <c r="B2869" i="1"/>
  <c r="A2870" i="1"/>
  <c r="B2870" i="1"/>
  <c r="A2871" i="1"/>
  <c r="B2871" i="1"/>
  <c r="A2872" i="1"/>
  <c r="A2873" i="1"/>
  <c r="A2874" i="1"/>
  <c r="B2874" i="1"/>
  <c r="A2875" i="1"/>
  <c r="B2875" i="1"/>
  <c r="A2876" i="1"/>
  <c r="B2876" i="1"/>
  <c r="A2877" i="1"/>
  <c r="B2877" i="1"/>
  <c r="A2878" i="1"/>
  <c r="B2878" i="1"/>
  <c r="A2879" i="1"/>
  <c r="B2879" i="1"/>
  <c r="A2880" i="1"/>
  <c r="A2881" i="1"/>
  <c r="B2881" i="1"/>
  <c r="A2882" i="1"/>
  <c r="B2882" i="1"/>
  <c r="A2883" i="1"/>
  <c r="B2883" i="1"/>
  <c r="A2884" i="1"/>
  <c r="B2884" i="1"/>
  <c r="A2885" i="1"/>
  <c r="B2885" i="1"/>
  <c r="A2886" i="1"/>
  <c r="B2886" i="1"/>
  <c r="A2887" i="1"/>
  <c r="B2887" i="1"/>
  <c r="A2888" i="1"/>
  <c r="B2888" i="1"/>
  <c r="A2889" i="1"/>
  <c r="B2889" i="1"/>
  <c r="A2890" i="1"/>
  <c r="B2890" i="1"/>
  <c r="A2891" i="1"/>
  <c r="B2891" i="1"/>
  <c r="A2892" i="1"/>
  <c r="B2892" i="1"/>
  <c r="A2893" i="1"/>
  <c r="A2894" i="1"/>
  <c r="A2895" i="1"/>
  <c r="B2895" i="1"/>
  <c r="A2896" i="1"/>
  <c r="A2897" i="1"/>
  <c r="B2897" i="1"/>
  <c r="A2898" i="1"/>
  <c r="A2899" i="1"/>
  <c r="B2899" i="1"/>
  <c r="A2900" i="1"/>
  <c r="B2900" i="1"/>
  <c r="A2901" i="1"/>
  <c r="B2901" i="1"/>
  <c r="A2902" i="1"/>
  <c r="B2902" i="1"/>
  <c r="A2903" i="1"/>
  <c r="B2903" i="1"/>
  <c r="A2904" i="1"/>
  <c r="B2904" i="1"/>
  <c r="A2905" i="1"/>
  <c r="B2905" i="1"/>
  <c r="A2906" i="1"/>
  <c r="B2906" i="1"/>
  <c r="A2907" i="1"/>
  <c r="B2907" i="1"/>
  <c r="A2908" i="1"/>
  <c r="B2908" i="1"/>
  <c r="A2909" i="1"/>
  <c r="B2909" i="1"/>
  <c r="A2910" i="1"/>
  <c r="B2910" i="1"/>
  <c r="A2911" i="1"/>
  <c r="B2911" i="1"/>
  <c r="A2912" i="1"/>
  <c r="B2912" i="1"/>
  <c r="A2913" i="1"/>
  <c r="B2913" i="1"/>
  <c r="A2914" i="1"/>
  <c r="B2914" i="1"/>
  <c r="A2915" i="1"/>
  <c r="B2915" i="1"/>
  <c r="A2916" i="1"/>
  <c r="B2916" i="1"/>
  <c r="A2917" i="1"/>
  <c r="B2917" i="1"/>
  <c r="A2918" i="1"/>
  <c r="B2918" i="1"/>
  <c r="A2919" i="1"/>
  <c r="A2920" i="1"/>
  <c r="B2920" i="1"/>
  <c r="A2921" i="1"/>
  <c r="B2921" i="1"/>
  <c r="A2922" i="1"/>
  <c r="B2922" i="1"/>
  <c r="A2923" i="1"/>
  <c r="A2924" i="1"/>
  <c r="A2925" i="1"/>
  <c r="A2926" i="1"/>
  <c r="B2926" i="1"/>
  <c r="A2927" i="1"/>
  <c r="B2927" i="1"/>
  <c r="A2928" i="1"/>
  <c r="A2929" i="1"/>
  <c r="B2929" i="1"/>
  <c r="A2930" i="1"/>
  <c r="A2931" i="1"/>
  <c r="A2932" i="1"/>
  <c r="A2933" i="1"/>
  <c r="A2934" i="1"/>
  <c r="A2935" i="1"/>
  <c r="B2935" i="1"/>
  <c r="A2936" i="1"/>
  <c r="A2937" i="1"/>
  <c r="A2938" i="1"/>
  <c r="B2938" i="1"/>
  <c r="A2939" i="1"/>
  <c r="B2939" i="1"/>
  <c r="A2940" i="1"/>
  <c r="A2941" i="1"/>
  <c r="B2941" i="1"/>
  <c r="A2942" i="1"/>
  <c r="B2942" i="1"/>
  <c r="A2943" i="1"/>
  <c r="A2944" i="1"/>
  <c r="A2945" i="1"/>
  <c r="B2945" i="1"/>
  <c r="A2946" i="1"/>
  <c r="B2946" i="1"/>
  <c r="A2947" i="1"/>
  <c r="B2947" i="1"/>
  <c r="A2948" i="1"/>
  <c r="A2949" i="1"/>
  <c r="B2949" i="1"/>
  <c r="A2950" i="1"/>
  <c r="A2951" i="1"/>
  <c r="A2952" i="1"/>
  <c r="A2953" i="1"/>
  <c r="B2953" i="1"/>
  <c r="A2954" i="1"/>
  <c r="B2954" i="1"/>
  <c r="A2955" i="1"/>
  <c r="B2955" i="1"/>
  <c r="A2956" i="1"/>
  <c r="B2956" i="1"/>
  <c r="A2957" i="1"/>
  <c r="B2957" i="1"/>
  <c r="A2958" i="1"/>
  <c r="A2959" i="1"/>
  <c r="B2959" i="1"/>
  <c r="A2960" i="1"/>
  <c r="B2960" i="1"/>
  <c r="A2961" i="1"/>
  <c r="B2961" i="1"/>
  <c r="A2962" i="1"/>
  <c r="B2962" i="1"/>
  <c r="A2963" i="1"/>
  <c r="B2963" i="1"/>
  <c r="A2964" i="1"/>
  <c r="B2964" i="1"/>
  <c r="A2965" i="1"/>
  <c r="B2965" i="1"/>
  <c r="A2966" i="1"/>
  <c r="B2966" i="1"/>
  <c r="A2967" i="1"/>
  <c r="B2967" i="1"/>
  <c r="A2968" i="1"/>
  <c r="B2968" i="1"/>
  <c r="A2969" i="1"/>
  <c r="B2969" i="1"/>
  <c r="A2970" i="1"/>
  <c r="A2971" i="1"/>
  <c r="B2971" i="1"/>
  <c r="A2972" i="1"/>
  <c r="A2973" i="1"/>
  <c r="A2974" i="1"/>
  <c r="A2975" i="1"/>
  <c r="B2975" i="1"/>
  <c r="A2976" i="1"/>
  <c r="B2976" i="1"/>
  <c r="A2977" i="1"/>
  <c r="B2977" i="1"/>
  <c r="A2978" i="1"/>
  <c r="A2979" i="1"/>
  <c r="A2980" i="1"/>
  <c r="A2981" i="1"/>
  <c r="B2981" i="1"/>
  <c r="A2982" i="1"/>
  <c r="B2982" i="1"/>
  <c r="A2983" i="1"/>
  <c r="B2983" i="1"/>
  <c r="A2984" i="1"/>
  <c r="B2984" i="1"/>
  <c r="A2985" i="1"/>
  <c r="B2985" i="1"/>
  <c r="A2986" i="1"/>
  <c r="B2986" i="1"/>
  <c r="A2987" i="1"/>
  <c r="A2988" i="1"/>
  <c r="A2989" i="1"/>
  <c r="B2989" i="1"/>
  <c r="A2990" i="1"/>
  <c r="B2990" i="1"/>
  <c r="A2991" i="1"/>
  <c r="B2991" i="1"/>
  <c r="A2992" i="1"/>
  <c r="B2992" i="1"/>
  <c r="A2993" i="1"/>
  <c r="B2993" i="1"/>
  <c r="A2994" i="1"/>
  <c r="B2994" i="1"/>
  <c r="A2995" i="1"/>
  <c r="B2995" i="1"/>
  <c r="A2996" i="1"/>
  <c r="B2996" i="1"/>
  <c r="A2997" i="1"/>
  <c r="B2997" i="1"/>
  <c r="A2998" i="1"/>
  <c r="B2998" i="1"/>
  <c r="A2999" i="1"/>
  <c r="B2999" i="1"/>
  <c r="A3000" i="1"/>
  <c r="B3000" i="1"/>
  <c r="A3001" i="1"/>
  <c r="B3001" i="1"/>
  <c r="A3002" i="1"/>
  <c r="B3002" i="1"/>
  <c r="A3003" i="1"/>
  <c r="A3004" i="1"/>
  <c r="B3004" i="1"/>
  <c r="A3005" i="1"/>
  <c r="A3006" i="1"/>
  <c r="B3006" i="1"/>
  <c r="A3007" i="1"/>
  <c r="B3007" i="1"/>
  <c r="A3008" i="1"/>
  <c r="B3008" i="1"/>
  <c r="A3009" i="1"/>
  <c r="B3009" i="1"/>
  <c r="A3010" i="1"/>
  <c r="B3010" i="1"/>
  <c r="A3011" i="1"/>
  <c r="B3011" i="1"/>
  <c r="A3012" i="1"/>
  <c r="B3012" i="1"/>
  <c r="A3013" i="1"/>
  <c r="B3013" i="1"/>
  <c r="A3014" i="1"/>
  <c r="B3014" i="1"/>
  <c r="A3015" i="1"/>
  <c r="B3015" i="1"/>
  <c r="A3016" i="1"/>
  <c r="B3016" i="1"/>
  <c r="A3017" i="1"/>
  <c r="B3017" i="1"/>
  <c r="A3018" i="1"/>
  <c r="A3019" i="1"/>
  <c r="B3019" i="1"/>
  <c r="A3020" i="1"/>
  <c r="B3020" i="1"/>
  <c r="A3021" i="1"/>
  <c r="A3022" i="1"/>
  <c r="A3023" i="1"/>
  <c r="A3024" i="1"/>
  <c r="B3024" i="1"/>
  <c r="A3025" i="1"/>
  <c r="B3025" i="1"/>
  <c r="A3026" i="1"/>
  <c r="B3026" i="1"/>
  <c r="A3027" i="1"/>
  <c r="B3027" i="1"/>
  <c r="A3028" i="1"/>
  <c r="B3028" i="1"/>
  <c r="A3029" i="1"/>
  <c r="B3029" i="1"/>
  <c r="A3030" i="1"/>
  <c r="B3030" i="1"/>
  <c r="A3031" i="1"/>
  <c r="A3032" i="1"/>
  <c r="B3032" i="1"/>
  <c r="A3033" i="1"/>
  <c r="B3033" i="1"/>
  <c r="A3034" i="1"/>
  <c r="B3034" i="1"/>
  <c r="A3035" i="1"/>
  <c r="B3035" i="1"/>
  <c r="A3036" i="1"/>
  <c r="B3036" i="1"/>
  <c r="A3037" i="1"/>
  <c r="A3038" i="1"/>
  <c r="B3038" i="1"/>
  <c r="A3039" i="1"/>
  <c r="B3039" i="1"/>
  <c r="A3040" i="1"/>
  <c r="B3040" i="1"/>
  <c r="A3041" i="1"/>
  <c r="B3041" i="1"/>
  <c r="A3042" i="1"/>
  <c r="B3042" i="1"/>
  <c r="A3043" i="1"/>
  <c r="B3043" i="1"/>
  <c r="A3044" i="1"/>
  <c r="B3044" i="1"/>
  <c r="A3045" i="1"/>
  <c r="A3046" i="1"/>
  <c r="A3047" i="1"/>
  <c r="B3047" i="1"/>
  <c r="A3048" i="1"/>
  <c r="B3048" i="1"/>
  <c r="A3049" i="1"/>
  <c r="B3049" i="1"/>
  <c r="A3050" i="1"/>
  <c r="B3050" i="1"/>
  <c r="A3051" i="1"/>
  <c r="B3051" i="1"/>
  <c r="A3052" i="1"/>
  <c r="B3052" i="1"/>
  <c r="A3053" i="1"/>
  <c r="B3053" i="1"/>
  <c r="A3054" i="1"/>
  <c r="B3054" i="1"/>
  <c r="A3055" i="1"/>
  <c r="B3055" i="1"/>
  <c r="A3056" i="1"/>
  <c r="B3056" i="1"/>
  <c r="A3057" i="1"/>
  <c r="B3057" i="1"/>
  <c r="A3058" i="1"/>
  <c r="B3058" i="1"/>
  <c r="A3059" i="1"/>
  <c r="B3059" i="1"/>
  <c r="A3060" i="1"/>
  <c r="B3060" i="1"/>
  <c r="A3061" i="1"/>
  <c r="B3061" i="1"/>
  <c r="A3062" i="1"/>
  <c r="B3062" i="1"/>
  <c r="A3063" i="1"/>
  <c r="A3064" i="1"/>
  <c r="B3064" i="1"/>
  <c r="A3065" i="1"/>
  <c r="B3065" i="1"/>
  <c r="A3066" i="1"/>
  <c r="B3066" i="1"/>
  <c r="A3067" i="1"/>
  <c r="B3067" i="1"/>
  <c r="A3068" i="1"/>
  <c r="B3068" i="1"/>
  <c r="A3069" i="1"/>
  <c r="B3069" i="1"/>
  <c r="A3070" i="1"/>
  <c r="B3070" i="1"/>
  <c r="A3071" i="1"/>
  <c r="B3071" i="1"/>
  <c r="A3072" i="1"/>
  <c r="A3073" i="1"/>
  <c r="B3073" i="1"/>
  <c r="A3074" i="1"/>
  <c r="B3074" i="1"/>
  <c r="A3075" i="1"/>
  <c r="B3075" i="1"/>
  <c r="A3076" i="1"/>
  <c r="B3076" i="1"/>
  <c r="A3077" i="1"/>
  <c r="B3077" i="1"/>
  <c r="A3078" i="1"/>
  <c r="B3078" i="1"/>
  <c r="A3079" i="1"/>
  <c r="B3079" i="1"/>
  <c r="A3080" i="1"/>
  <c r="B3080" i="1"/>
  <c r="A3081" i="1"/>
  <c r="B3081" i="1"/>
  <c r="A3082" i="1"/>
  <c r="B3082" i="1"/>
  <c r="A3083" i="1"/>
  <c r="B3083" i="1"/>
  <c r="A3084" i="1"/>
  <c r="B3084" i="1"/>
  <c r="A3085" i="1"/>
  <c r="B3085" i="1"/>
  <c r="A3086" i="1"/>
  <c r="B3086" i="1"/>
  <c r="A3087" i="1"/>
  <c r="A3088" i="1"/>
  <c r="B3088" i="1"/>
  <c r="A3089" i="1"/>
  <c r="B3089" i="1"/>
  <c r="A3090" i="1"/>
  <c r="B3090" i="1"/>
  <c r="A3091" i="1"/>
  <c r="A3092" i="1"/>
  <c r="B3092" i="1"/>
  <c r="A3093" i="1"/>
  <c r="B3093" i="1"/>
  <c r="A3094" i="1"/>
  <c r="A3095" i="1"/>
  <c r="B3095" i="1"/>
  <c r="A3096" i="1"/>
  <c r="A3097" i="1"/>
  <c r="B3097" i="1"/>
  <c r="A3098" i="1"/>
  <c r="B3098" i="1"/>
  <c r="A3099" i="1"/>
  <c r="B3099" i="1"/>
  <c r="A3100" i="1"/>
  <c r="B3100" i="1"/>
  <c r="A3101" i="1"/>
  <c r="B3101" i="1"/>
  <c r="A3102" i="1"/>
  <c r="A3103" i="1"/>
  <c r="B3103" i="1"/>
  <c r="A3104" i="1"/>
  <c r="B3104" i="1"/>
  <c r="A3105" i="1"/>
  <c r="B3105" i="1"/>
  <c r="A3106" i="1"/>
  <c r="B3106" i="1"/>
  <c r="A3107" i="1"/>
  <c r="A3108" i="1"/>
  <c r="B3108" i="1"/>
  <c r="A3109" i="1"/>
  <c r="B3109" i="1"/>
  <c r="A3110" i="1"/>
  <c r="B3110" i="1"/>
  <c r="A3111" i="1"/>
  <c r="B3111" i="1"/>
  <c r="A3112" i="1"/>
  <c r="B3112" i="1"/>
  <c r="A3113" i="1"/>
  <c r="B3113" i="1"/>
  <c r="A3114" i="1"/>
  <c r="B3114" i="1"/>
  <c r="A3115" i="1"/>
  <c r="B3115" i="1"/>
  <c r="A3116" i="1"/>
  <c r="B3116" i="1"/>
  <c r="A3117" i="1"/>
  <c r="B3117" i="1"/>
  <c r="A3118" i="1"/>
  <c r="B3118" i="1"/>
  <c r="A3119" i="1"/>
  <c r="B3119" i="1"/>
  <c r="A3120" i="1"/>
  <c r="B3120" i="1"/>
  <c r="A3121" i="1"/>
  <c r="A3122" i="1"/>
  <c r="A3123" i="1"/>
  <c r="A3124" i="1"/>
  <c r="A3125" i="1"/>
  <c r="A3126" i="1"/>
  <c r="A3127" i="1"/>
  <c r="A3128" i="1"/>
  <c r="A3129" i="1"/>
  <c r="A3130" i="1"/>
  <c r="A3131" i="1"/>
  <c r="A3132" i="1"/>
  <c r="A3133" i="1"/>
  <c r="A3134" i="1"/>
  <c r="B3134" i="1"/>
  <c r="A3135" i="1"/>
  <c r="A3136" i="1"/>
  <c r="B3136" i="1"/>
  <c r="A3137" i="1"/>
  <c r="A3138" i="1"/>
  <c r="B3138" i="1"/>
  <c r="A3139" i="1"/>
  <c r="B3139" i="1"/>
  <c r="A3140" i="1"/>
  <c r="B3140" i="1"/>
  <c r="A3141" i="1"/>
  <c r="B3141" i="1"/>
  <c r="A3142" i="1"/>
  <c r="B3142" i="1"/>
  <c r="A3143" i="1"/>
  <c r="B3143" i="1"/>
  <c r="A3144" i="1"/>
  <c r="B3144" i="1"/>
  <c r="A3145" i="1"/>
  <c r="B3145" i="1"/>
  <c r="A3146" i="1"/>
  <c r="B3146" i="1"/>
  <c r="A3147" i="1"/>
  <c r="B3147" i="1"/>
  <c r="A3148" i="1"/>
  <c r="B3148" i="1"/>
  <c r="A3149" i="1"/>
  <c r="B3149" i="1"/>
  <c r="A3150" i="1"/>
  <c r="B3150" i="1"/>
  <c r="A3151" i="1"/>
  <c r="B3151" i="1"/>
  <c r="A3152" i="1"/>
  <c r="B3152" i="1"/>
  <c r="A3153" i="1"/>
  <c r="A3154" i="1"/>
  <c r="B3154" i="1"/>
  <c r="A3155" i="1"/>
  <c r="A3156" i="1"/>
  <c r="A3157" i="1"/>
  <c r="B3157" i="1"/>
  <c r="A3158" i="1"/>
  <c r="B3158" i="1"/>
  <c r="A3159" i="1"/>
  <c r="B3159" i="1"/>
  <c r="A3160" i="1"/>
  <c r="B3160" i="1"/>
  <c r="A3161" i="1"/>
  <c r="A3162" i="1"/>
  <c r="A3163" i="1"/>
  <c r="B3163" i="1"/>
  <c r="A3164" i="1"/>
  <c r="B3164" i="1"/>
  <c r="A3165" i="1"/>
  <c r="B3165" i="1"/>
  <c r="A3166" i="1"/>
  <c r="B3166" i="1"/>
  <c r="A3167" i="1"/>
  <c r="B3167" i="1"/>
  <c r="A3168" i="1"/>
  <c r="B3168" i="1"/>
  <c r="A3169" i="1"/>
  <c r="A3170" i="1"/>
  <c r="B3170" i="1"/>
  <c r="A3171" i="1"/>
  <c r="B3171" i="1"/>
  <c r="A3172" i="1"/>
  <c r="B3172" i="1"/>
  <c r="A3173" i="1"/>
  <c r="B3173" i="1"/>
  <c r="A3174" i="1"/>
  <c r="B3174" i="1"/>
  <c r="A3175" i="1"/>
  <c r="B3175" i="1"/>
  <c r="A3176" i="1"/>
  <c r="B3176" i="1"/>
  <c r="A3177" i="1"/>
  <c r="B3177" i="1"/>
  <c r="A3178" i="1"/>
  <c r="A3179" i="1"/>
  <c r="B3179" i="1"/>
  <c r="A3180" i="1"/>
  <c r="B3180" i="1"/>
  <c r="A3181" i="1"/>
  <c r="B3181" i="1"/>
  <c r="A3182" i="1"/>
  <c r="B3182" i="1"/>
  <c r="A3183" i="1"/>
  <c r="B3183" i="1"/>
  <c r="A3184" i="1"/>
  <c r="B3184" i="1"/>
  <c r="A3185" i="1"/>
  <c r="B3185" i="1"/>
  <c r="A3186" i="1"/>
  <c r="B3186" i="1"/>
  <c r="A3187" i="1"/>
  <c r="B3187" i="1"/>
  <c r="A3188" i="1"/>
  <c r="B3188" i="1"/>
  <c r="A3189" i="1"/>
  <c r="B3189" i="1"/>
  <c r="A3190" i="1"/>
  <c r="B3190" i="1"/>
  <c r="A3191" i="1"/>
  <c r="B3191" i="1"/>
  <c r="A3192" i="1"/>
  <c r="B3192" i="1"/>
  <c r="A3193" i="1"/>
  <c r="A3194" i="1"/>
  <c r="B3194" i="1"/>
  <c r="A3195" i="1"/>
  <c r="A3196" i="1"/>
  <c r="A3197" i="1"/>
  <c r="B3197" i="1"/>
  <c r="A3198" i="1"/>
  <c r="B3198" i="1"/>
  <c r="A3199" i="1"/>
  <c r="B3199" i="1"/>
  <c r="A3200" i="1"/>
  <c r="B3200" i="1"/>
  <c r="A3201" i="1"/>
  <c r="B3201" i="1"/>
  <c r="A3202" i="1"/>
  <c r="B3202" i="1"/>
  <c r="A3203" i="1"/>
  <c r="B3203" i="1"/>
  <c r="A3204" i="1"/>
  <c r="A3205" i="1"/>
  <c r="A3206" i="1"/>
  <c r="B3206" i="1"/>
  <c r="A3207" i="1"/>
  <c r="A3208" i="1"/>
  <c r="B3208" i="1"/>
  <c r="A3209" i="1"/>
  <c r="B3209" i="1"/>
  <c r="A3210" i="1"/>
  <c r="B3210" i="1"/>
  <c r="A3211" i="1"/>
  <c r="B3211" i="1"/>
  <c r="A3212" i="1"/>
  <c r="B3212" i="1"/>
  <c r="A3213" i="1"/>
  <c r="B3213" i="1"/>
  <c r="A3214" i="1"/>
  <c r="B3214" i="1"/>
  <c r="A3215" i="1"/>
  <c r="B3215" i="1"/>
  <c r="A3216" i="1"/>
  <c r="B3216" i="1"/>
  <c r="A3217" i="1"/>
  <c r="A3218" i="1"/>
  <c r="B3218" i="1"/>
  <c r="A3219" i="1"/>
  <c r="B3219" i="1"/>
  <c r="A3220" i="1"/>
  <c r="B3220" i="1"/>
  <c r="A3221" i="1"/>
  <c r="B3221" i="1"/>
  <c r="A3222" i="1"/>
  <c r="A3223" i="1"/>
  <c r="B3223" i="1"/>
  <c r="A3224" i="1"/>
  <c r="B3224" i="1"/>
  <c r="A3225" i="1"/>
  <c r="B3225" i="1"/>
  <c r="A3226" i="1"/>
  <c r="B3226" i="1"/>
  <c r="A3227" i="1"/>
  <c r="B3227" i="1"/>
  <c r="A3228" i="1"/>
  <c r="A3229" i="1"/>
  <c r="B3229" i="1"/>
  <c r="A3230" i="1"/>
  <c r="B3230" i="1"/>
  <c r="A3231" i="1"/>
  <c r="A3232" i="1"/>
  <c r="B3232" i="1"/>
  <c r="A3233" i="1"/>
  <c r="A3234" i="1"/>
  <c r="B3234" i="1"/>
  <c r="A3235" i="1"/>
  <c r="B3235" i="1"/>
  <c r="A3236" i="1"/>
  <c r="B3236" i="1"/>
  <c r="A3237" i="1"/>
  <c r="B3237" i="1"/>
  <c r="A3238" i="1"/>
  <c r="B3238" i="1"/>
  <c r="A3239" i="1"/>
  <c r="A3240" i="1"/>
  <c r="B3240" i="1"/>
  <c r="A3241" i="1"/>
  <c r="B3241" i="1"/>
  <c r="A3242" i="1"/>
  <c r="B3242" i="1"/>
  <c r="A3243" i="1"/>
  <c r="B3243" i="1"/>
  <c r="A3244" i="1"/>
  <c r="B3244" i="1"/>
  <c r="A3245" i="1"/>
  <c r="B3245" i="1"/>
  <c r="A3246" i="1"/>
  <c r="B3246" i="1"/>
  <c r="A3247" i="1"/>
  <c r="A3248" i="1"/>
  <c r="B3248" i="1"/>
  <c r="A3249" i="1"/>
  <c r="B3249" i="1"/>
  <c r="A3250" i="1"/>
  <c r="B3250" i="1"/>
  <c r="A3251" i="1"/>
  <c r="B3251" i="1"/>
  <c r="A3252" i="1"/>
  <c r="B3252" i="1"/>
  <c r="A3253" i="1"/>
  <c r="A3254" i="1"/>
  <c r="B3254" i="1"/>
  <c r="A3255" i="1"/>
  <c r="B3255" i="1"/>
  <c r="A3256" i="1"/>
  <c r="A3257" i="1"/>
  <c r="A3258" i="1"/>
  <c r="B3258" i="1"/>
  <c r="A3259" i="1"/>
  <c r="B3259" i="1"/>
  <c r="A3260" i="1"/>
  <c r="B3260" i="1"/>
  <c r="A3261" i="1"/>
  <c r="B3261" i="1"/>
  <c r="A3262" i="1"/>
  <c r="B3262" i="1"/>
  <c r="A3263" i="1"/>
  <c r="A3264" i="1"/>
  <c r="A3265" i="1"/>
  <c r="A3266" i="1"/>
  <c r="B3266" i="1"/>
  <c r="A3267" i="1"/>
  <c r="B3267" i="1"/>
  <c r="A3268" i="1"/>
  <c r="B3268" i="1"/>
  <c r="A3269" i="1"/>
  <c r="B3269" i="1"/>
  <c r="A3270" i="1"/>
  <c r="B3270" i="1"/>
  <c r="A3271" i="1"/>
  <c r="B3271" i="1"/>
  <c r="A3272" i="1"/>
  <c r="B3272" i="1"/>
  <c r="A3273" i="1"/>
  <c r="B3273" i="1"/>
  <c r="A3274" i="1"/>
  <c r="B3274" i="1"/>
  <c r="A3275" i="1"/>
  <c r="B3275" i="1"/>
  <c r="A3276" i="1"/>
  <c r="B3276" i="1"/>
  <c r="A3277" i="1"/>
  <c r="B3277" i="1"/>
  <c r="A3278" i="1"/>
  <c r="B3278" i="1"/>
  <c r="A3279" i="1"/>
  <c r="B3279" i="1"/>
  <c r="A3280" i="1"/>
  <c r="B3280" i="1"/>
  <c r="A3281" i="1"/>
  <c r="B3281" i="1"/>
  <c r="A3282" i="1"/>
  <c r="A3283" i="1"/>
  <c r="A3284" i="1"/>
  <c r="B3284" i="1"/>
  <c r="A3285" i="1"/>
  <c r="A3286" i="1"/>
  <c r="B3286" i="1"/>
  <c r="A3287" i="1"/>
  <c r="A3288" i="1"/>
  <c r="A3289" i="1"/>
  <c r="A3290" i="1"/>
  <c r="B3290" i="1"/>
  <c r="A3291" i="1"/>
  <c r="A3292" i="1"/>
  <c r="A3293" i="1"/>
  <c r="A3294" i="1"/>
  <c r="A3295" i="1"/>
  <c r="A3296" i="1"/>
  <c r="A3297" i="1"/>
  <c r="A3298" i="1"/>
  <c r="A3299" i="1"/>
  <c r="A3300" i="1"/>
  <c r="B3300" i="1"/>
  <c r="A3301" i="1"/>
  <c r="B3301" i="1"/>
  <c r="A3302" i="1"/>
  <c r="B3302" i="1"/>
  <c r="A3303" i="1"/>
  <c r="B3303" i="1"/>
  <c r="A3304" i="1"/>
  <c r="A3305" i="1"/>
  <c r="B3305" i="1"/>
  <c r="A3306" i="1"/>
  <c r="B3306" i="1"/>
  <c r="A3307" i="1"/>
  <c r="B3307" i="1"/>
  <c r="A3308" i="1"/>
  <c r="B3308" i="1"/>
  <c r="A3309" i="1"/>
  <c r="B3309" i="1"/>
  <c r="A3310" i="1"/>
  <c r="B3310" i="1"/>
  <c r="A3311" i="1"/>
  <c r="B3311" i="1"/>
  <c r="A3312" i="1"/>
  <c r="B3312" i="1"/>
  <c r="A3313" i="1"/>
  <c r="B3313" i="1"/>
  <c r="A3314" i="1"/>
  <c r="B3314" i="1"/>
  <c r="A3315" i="1"/>
  <c r="B3315" i="1"/>
  <c r="A3316" i="1"/>
  <c r="A3317" i="1"/>
  <c r="B3317" i="1"/>
  <c r="A3318" i="1"/>
  <c r="B3318" i="1"/>
  <c r="A3319" i="1"/>
  <c r="B3319" i="1"/>
  <c r="A3320" i="1"/>
  <c r="B3320" i="1"/>
  <c r="A3321" i="1"/>
  <c r="B3321" i="1"/>
  <c r="A3322" i="1"/>
  <c r="B3322" i="1"/>
  <c r="A3323" i="1"/>
  <c r="B3323" i="1"/>
  <c r="A3324" i="1"/>
  <c r="B3324" i="1"/>
  <c r="A3325" i="1"/>
  <c r="B3325" i="1"/>
  <c r="A3326" i="1"/>
  <c r="B3326" i="1"/>
  <c r="A3327" i="1"/>
  <c r="B3327" i="1"/>
  <c r="A3328" i="1"/>
  <c r="B3328" i="1"/>
  <c r="A3329" i="1"/>
  <c r="A3330" i="1"/>
  <c r="A3331" i="1"/>
  <c r="B3331" i="1"/>
  <c r="A3332" i="1"/>
  <c r="B3332" i="1"/>
  <c r="A3333" i="1"/>
  <c r="A3334" i="1"/>
  <c r="B3334" i="1"/>
  <c r="A3335" i="1"/>
  <c r="A3336" i="1"/>
  <c r="B3336" i="1"/>
  <c r="A3337" i="1"/>
  <c r="B3337" i="1"/>
  <c r="A3338" i="1"/>
  <c r="B3338" i="1"/>
  <c r="A3339" i="1"/>
  <c r="B3339" i="1"/>
  <c r="A3340" i="1"/>
  <c r="B3340" i="1"/>
  <c r="A3341" i="1"/>
  <c r="B3341" i="1"/>
  <c r="A3342" i="1"/>
  <c r="B3342" i="1"/>
  <c r="A3343" i="1"/>
  <c r="B3343" i="1"/>
  <c r="A3344" i="1"/>
  <c r="B3344" i="1"/>
  <c r="A3345" i="1"/>
  <c r="B3345" i="1"/>
  <c r="A3346" i="1"/>
  <c r="B3346" i="1"/>
  <c r="A3347" i="1"/>
  <c r="B3347" i="1"/>
  <c r="A3348" i="1"/>
  <c r="B3348" i="1"/>
  <c r="A3349" i="1"/>
  <c r="B3349" i="1"/>
  <c r="A3350" i="1"/>
  <c r="B3350" i="1"/>
  <c r="A3351" i="1"/>
  <c r="A3352" i="1"/>
  <c r="B3352" i="1"/>
  <c r="A3353" i="1"/>
  <c r="B3353" i="1"/>
  <c r="A3354" i="1"/>
  <c r="B3354" i="1"/>
  <c r="A3355" i="1"/>
  <c r="B3355" i="1"/>
  <c r="A3356" i="1"/>
  <c r="A3357" i="1"/>
  <c r="B3357" i="1"/>
  <c r="A3358" i="1"/>
  <c r="B3358" i="1"/>
  <c r="A3359" i="1"/>
  <c r="A3360" i="1"/>
  <c r="B3360" i="1"/>
  <c r="A3361" i="1"/>
  <c r="B3361" i="1"/>
  <c r="A3362" i="1"/>
  <c r="B3362" i="1"/>
  <c r="A3363" i="1"/>
  <c r="A3364" i="1"/>
  <c r="B3364" i="1"/>
  <c r="A3365" i="1"/>
  <c r="A3366" i="1"/>
  <c r="A3367" i="1"/>
  <c r="A3368" i="1"/>
  <c r="A3369" i="1"/>
  <c r="A3370" i="1"/>
  <c r="B3370" i="1"/>
  <c r="A3371" i="1"/>
  <c r="B3371" i="1"/>
  <c r="A3372" i="1"/>
  <c r="A3373" i="1"/>
  <c r="B3373" i="1"/>
  <c r="A3374" i="1"/>
  <c r="B3374" i="1"/>
  <c r="A3375" i="1"/>
  <c r="B3375" i="1"/>
  <c r="A3376" i="1"/>
  <c r="B3376" i="1"/>
  <c r="A3377" i="1"/>
  <c r="B3377" i="1"/>
  <c r="A3378" i="1"/>
  <c r="B3378" i="1"/>
  <c r="A3379" i="1"/>
  <c r="B3379" i="1"/>
  <c r="A3380" i="1"/>
  <c r="B3380" i="1"/>
  <c r="A3381" i="1"/>
  <c r="A3382" i="1"/>
  <c r="B3382" i="1"/>
  <c r="A3383" i="1"/>
  <c r="B3383" i="1"/>
  <c r="A3384" i="1"/>
  <c r="B3384" i="1"/>
  <c r="A3385" i="1"/>
  <c r="B3385" i="1"/>
  <c r="A3386" i="1"/>
  <c r="B3386" i="1"/>
  <c r="A3387" i="1"/>
  <c r="B3387" i="1"/>
  <c r="A3388" i="1"/>
  <c r="B3388" i="1"/>
  <c r="A3389" i="1"/>
  <c r="B3389" i="1"/>
  <c r="A3390" i="1"/>
  <c r="B3390" i="1"/>
  <c r="A3391" i="1"/>
  <c r="B3391" i="1"/>
  <c r="A3392" i="1"/>
  <c r="B3392" i="1"/>
  <c r="A3393" i="1"/>
  <c r="B3393" i="1"/>
  <c r="A3394" i="1"/>
  <c r="A3395" i="1"/>
  <c r="A3396" i="1"/>
  <c r="B3396" i="1"/>
  <c r="A3397" i="1"/>
  <c r="A3398" i="1"/>
  <c r="B3398" i="1"/>
  <c r="A3399" i="1"/>
  <c r="B3399" i="1"/>
  <c r="A3400" i="1"/>
  <c r="B3400" i="1"/>
  <c r="A3401" i="1"/>
  <c r="B3401" i="1"/>
  <c r="A3402" i="1"/>
  <c r="B3402" i="1"/>
  <c r="A3403" i="1"/>
  <c r="B3403" i="1"/>
  <c r="A3404" i="1"/>
  <c r="B3404" i="1"/>
  <c r="A3405" i="1"/>
  <c r="B3405" i="1"/>
  <c r="A3406" i="1"/>
  <c r="A3407" i="1"/>
  <c r="B3407" i="1"/>
  <c r="A3408" i="1"/>
  <c r="B3408" i="1"/>
  <c r="A3409" i="1"/>
  <c r="B3409" i="1"/>
  <c r="A3410" i="1"/>
  <c r="B3410" i="1"/>
  <c r="A3411" i="1"/>
  <c r="B3411" i="1"/>
  <c r="A3412" i="1"/>
  <c r="A3413" i="1"/>
  <c r="B3413" i="1"/>
  <c r="A3414" i="1"/>
  <c r="A3415" i="1"/>
  <c r="B3415" i="1"/>
  <c r="A3416" i="1"/>
  <c r="B3416" i="1"/>
  <c r="A3417" i="1"/>
  <c r="B3417" i="1"/>
  <c r="A3418" i="1"/>
  <c r="B3418" i="1"/>
  <c r="A3419" i="1"/>
  <c r="B3419" i="1"/>
  <c r="A3420" i="1"/>
  <c r="B3420" i="1"/>
  <c r="A3421" i="1"/>
  <c r="B3421" i="1"/>
  <c r="A3422" i="1"/>
  <c r="B3422" i="1"/>
  <c r="A3423" i="1"/>
  <c r="B3423" i="1"/>
  <c r="A3424" i="1"/>
  <c r="B3424" i="1"/>
  <c r="A3425" i="1"/>
  <c r="B3425" i="1"/>
  <c r="A3426" i="1"/>
  <c r="B3426" i="1"/>
  <c r="A3427" i="1"/>
  <c r="B3427" i="1"/>
  <c r="A3428" i="1"/>
  <c r="A3429" i="1"/>
  <c r="B3429" i="1"/>
  <c r="A3430" i="1"/>
  <c r="B3430" i="1"/>
  <c r="A3431" i="1"/>
  <c r="B3431" i="1"/>
  <c r="A3432" i="1"/>
  <c r="A3433" i="1"/>
  <c r="B3433" i="1"/>
  <c r="A3434" i="1"/>
  <c r="B3434" i="1"/>
  <c r="A3435" i="1"/>
  <c r="B3435" i="1"/>
  <c r="A3436" i="1"/>
  <c r="B3436" i="1"/>
  <c r="A3437" i="1"/>
  <c r="B3437" i="1"/>
  <c r="A3438" i="1"/>
  <c r="B3438" i="1"/>
  <c r="A3439" i="1"/>
  <c r="B3439" i="1"/>
  <c r="A3440" i="1"/>
  <c r="B3440" i="1"/>
  <c r="A3441" i="1"/>
  <c r="B3441" i="1"/>
  <c r="A3442" i="1"/>
  <c r="B3442" i="1"/>
  <c r="A3443" i="1"/>
  <c r="B3443" i="1"/>
  <c r="A3444" i="1"/>
  <c r="B3444" i="1"/>
  <c r="A3445" i="1"/>
  <c r="B3445" i="1"/>
  <c r="A3446" i="1"/>
  <c r="B3446" i="1"/>
  <c r="A3447" i="1"/>
  <c r="A3448" i="1"/>
  <c r="B3448" i="1"/>
  <c r="A3449" i="1"/>
  <c r="B3449" i="1"/>
  <c r="A3450" i="1"/>
  <c r="B3450" i="1"/>
  <c r="A3451" i="1"/>
  <c r="B3451" i="1"/>
  <c r="A3452" i="1"/>
  <c r="B3452" i="1"/>
  <c r="A3453" i="1"/>
  <c r="B3453" i="1"/>
  <c r="A3454" i="1"/>
  <c r="B3454" i="1"/>
  <c r="A3455" i="1"/>
  <c r="B3455" i="1"/>
  <c r="A3456" i="1"/>
  <c r="A3457" i="1"/>
  <c r="A3458" i="1"/>
  <c r="A3459" i="1"/>
  <c r="A3460" i="1"/>
  <c r="B3460" i="1"/>
  <c r="A3461" i="1"/>
  <c r="B3461" i="1"/>
  <c r="A3462" i="1"/>
  <c r="B3462" i="1"/>
  <c r="A3463" i="1"/>
  <c r="A3464" i="1"/>
  <c r="B3464" i="1"/>
  <c r="A3465" i="1"/>
  <c r="B3465" i="1"/>
  <c r="A3466" i="1"/>
  <c r="B3466" i="1"/>
  <c r="A3467" i="1"/>
  <c r="B3467" i="1"/>
  <c r="A3468" i="1"/>
  <c r="B3468" i="1"/>
  <c r="A3469" i="1"/>
  <c r="A3470" i="1"/>
  <c r="A3471" i="1"/>
  <c r="B3471" i="1"/>
  <c r="A3472" i="1"/>
  <c r="A3473" i="1"/>
  <c r="A3474" i="1"/>
  <c r="A3475" i="1"/>
  <c r="A3476" i="1"/>
  <c r="B3476" i="1"/>
  <c r="A3477" i="1"/>
  <c r="B3477" i="1"/>
  <c r="A3478" i="1"/>
  <c r="B3478" i="1"/>
  <c r="A3479" i="1"/>
  <c r="B3479" i="1"/>
  <c r="A3480" i="1"/>
  <c r="B3480" i="1"/>
  <c r="A3481" i="1"/>
  <c r="B3481" i="1"/>
  <c r="A3482" i="1"/>
  <c r="A3483" i="1"/>
  <c r="B3483" i="1"/>
  <c r="A3484" i="1"/>
  <c r="B3484" i="1"/>
  <c r="A3485" i="1"/>
  <c r="A3486" i="1"/>
  <c r="B3486" i="1"/>
  <c r="A3487" i="1"/>
  <c r="B3487" i="1"/>
  <c r="A3488" i="1"/>
  <c r="B3488" i="1"/>
  <c r="A3489" i="1"/>
  <c r="B3489" i="1"/>
  <c r="A3490" i="1"/>
  <c r="B3490" i="1"/>
  <c r="A3491" i="1"/>
  <c r="B3491" i="1"/>
  <c r="A3492" i="1"/>
  <c r="B3492" i="1"/>
  <c r="A3493" i="1"/>
  <c r="B3493" i="1"/>
  <c r="A3494" i="1"/>
  <c r="B3494" i="1"/>
  <c r="A3495" i="1"/>
  <c r="A3496" i="1"/>
  <c r="A3497" i="1"/>
  <c r="B3497" i="1"/>
  <c r="A3498" i="1"/>
  <c r="B3498" i="1"/>
  <c r="A3499" i="1"/>
  <c r="B3499" i="1"/>
  <c r="A3500" i="1"/>
  <c r="B3500" i="1"/>
  <c r="A3501" i="1"/>
  <c r="B3501" i="1"/>
  <c r="A3502" i="1"/>
  <c r="A3503" i="1"/>
  <c r="A3504" i="1"/>
  <c r="A3505" i="1"/>
  <c r="B3505" i="1"/>
  <c r="A3506" i="1"/>
  <c r="B3506" i="1"/>
  <c r="A3507" i="1"/>
  <c r="B3507" i="1"/>
  <c r="A3508" i="1"/>
  <c r="A3509" i="1"/>
  <c r="B3509" i="1"/>
  <c r="A3510" i="1"/>
  <c r="B3510" i="1"/>
  <c r="A3511" i="1"/>
  <c r="B3511" i="1"/>
  <c r="A3512" i="1"/>
  <c r="B3512" i="1"/>
  <c r="A3513" i="1"/>
  <c r="A3514" i="1"/>
  <c r="B3514" i="1"/>
  <c r="A3515" i="1"/>
  <c r="B3515" i="1"/>
  <c r="A3516" i="1"/>
  <c r="B3516" i="1"/>
  <c r="A3517" i="1"/>
  <c r="B3517" i="1"/>
  <c r="A3518" i="1"/>
  <c r="B3518" i="1"/>
  <c r="A3519" i="1"/>
  <c r="B3519" i="1"/>
  <c r="A3520" i="1"/>
  <c r="B3520" i="1"/>
  <c r="A3521" i="1"/>
  <c r="A3522" i="1"/>
  <c r="B3522" i="1"/>
  <c r="A3523" i="1"/>
  <c r="B3523" i="1"/>
  <c r="A3524" i="1"/>
  <c r="B3524" i="1"/>
  <c r="A3525" i="1"/>
  <c r="B3525" i="1"/>
  <c r="A3526" i="1"/>
  <c r="A3527" i="1"/>
  <c r="B3527" i="1"/>
  <c r="A3528" i="1"/>
  <c r="B3528" i="1"/>
  <c r="A3529" i="1"/>
  <c r="B3529" i="1"/>
  <c r="A3530" i="1"/>
  <c r="B3530" i="1"/>
  <c r="A3531" i="1"/>
  <c r="B3531" i="1"/>
  <c r="A3532" i="1"/>
  <c r="A3533" i="1"/>
  <c r="B3533" i="1"/>
  <c r="A3534" i="1"/>
  <c r="B3534" i="1"/>
  <c r="A3535" i="1"/>
  <c r="A3536" i="1"/>
  <c r="A3537" i="1"/>
  <c r="A3538" i="1"/>
  <c r="B3538" i="1"/>
  <c r="A3539" i="1"/>
  <c r="B3539" i="1"/>
  <c r="A3540" i="1"/>
  <c r="A3541" i="1"/>
  <c r="A3542" i="1"/>
  <c r="B3542" i="1"/>
  <c r="A3543" i="1"/>
  <c r="B3543" i="1"/>
  <c r="A3544" i="1"/>
  <c r="B3544" i="1"/>
  <c r="A3545" i="1"/>
  <c r="A3546" i="1"/>
  <c r="B3546" i="1"/>
  <c r="A3547" i="1"/>
  <c r="A3548" i="1"/>
  <c r="A3549" i="1"/>
  <c r="B3549" i="1"/>
  <c r="A3550" i="1"/>
  <c r="A3551" i="1"/>
  <c r="A3552" i="1"/>
  <c r="A3553" i="1"/>
  <c r="A3554" i="1"/>
  <c r="B3554" i="1"/>
  <c r="A3555" i="1"/>
  <c r="B3555" i="1"/>
  <c r="A3556" i="1"/>
  <c r="A3557" i="1"/>
  <c r="A3558" i="1"/>
  <c r="B3558" i="1"/>
  <c r="A3559" i="1"/>
  <c r="B3559" i="1"/>
  <c r="A3560" i="1"/>
  <c r="B3560" i="1"/>
  <c r="A3561" i="1"/>
  <c r="B3561" i="1"/>
  <c r="A3562" i="1"/>
  <c r="B3562" i="1"/>
  <c r="A3563" i="1"/>
  <c r="B3563" i="1"/>
  <c r="A3564" i="1"/>
  <c r="B3564" i="1"/>
  <c r="A3565" i="1"/>
  <c r="B3565" i="1"/>
  <c r="A3566" i="1"/>
  <c r="A3567" i="1"/>
  <c r="A3568" i="1"/>
  <c r="A3569" i="1"/>
  <c r="A3570" i="1"/>
  <c r="A3571" i="1"/>
  <c r="B3571" i="1"/>
  <c r="A3572" i="1"/>
  <c r="A3573" i="1"/>
  <c r="B3573" i="1"/>
  <c r="A3574" i="1"/>
  <c r="B3574" i="1"/>
  <c r="A3575" i="1"/>
  <c r="B3575" i="1"/>
  <c r="A3576" i="1"/>
  <c r="B3576" i="1"/>
  <c r="A3577" i="1"/>
  <c r="A3578" i="1"/>
  <c r="B3578" i="1"/>
  <c r="A3579" i="1"/>
  <c r="A3580" i="1"/>
  <c r="B3580" i="1"/>
  <c r="A3581" i="1"/>
  <c r="B3581" i="1"/>
  <c r="A3582" i="1"/>
  <c r="B3582" i="1"/>
  <c r="A3583" i="1"/>
  <c r="B3583" i="1"/>
  <c r="A3584" i="1"/>
  <c r="B3584" i="1"/>
  <c r="A3585" i="1"/>
  <c r="A3586" i="1"/>
  <c r="A3587" i="1"/>
  <c r="A3588" i="1"/>
  <c r="B3588" i="1"/>
  <c r="A3589" i="1"/>
  <c r="A3590" i="1"/>
  <c r="B3590" i="1"/>
  <c r="A3591" i="1"/>
  <c r="B3591" i="1"/>
  <c r="A3592" i="1"/>
  <c r="B3592" i="1"/>
  <c r="A3593" i="1"/>
  <c r="B3593" i="1"/>
  <c r="A3594" i="1"/>
  <c r="B3594" i="1"/>
  <c r="A3595" i="1"/>
  <c r="B3595" i="1"/>
  <c r="A3596" i="1"/>
  <c r="B3596" i="1"/>
  <c r="A3597" i="1"/>
  <c r="B3597" i="1"/>
  <c r="A3598" i="1"/>
  <c r="B3598" i="1"/>
  <c r="A3599" i="1"/>
  <c r="B3599" i="1"/>
  <c r="A3600" i="1"/>
  <c r="B3600" i="1"/>
  <c r="A3601" i="1"/>
  <c r="B3601" i="1"/>
  <c r="A3602" i="1"/>
  <c r="B3602" i="1"/>
  <c r="A3603" i="1"/>
  <c r="B3603" i="1"/>
  <c r="A3604" i="1"/>
  <c r="B3604" i="1"/>
  <c r="A3605" i="1"/>
  <c r="B3605" i="1"/>
  <c r="A3606" i="1"/>
  <c r="A3607" i="1"/>
  <c r="A3608" i="1"/>
  <c r="A3609" i="1"/>
  <c r="A3610" i="1"/>
  <c r="B3610" i="1"/>
  <c r="A3611" i="1"/>
  <c r="B3611" i="1"/>
  <c r="A3612" i="1"/>
  <c r="B3612" i="1"/>
  <c r="A3613" i="1"/>
  <c r="B3613" i="1"/>
  <c r="A3614" i="1"/>
  <c r="B3614" i="1"/>
  <c r="A3615" i="1"/>
  <c r="B3615" i="1"/>
  <c r="A3616" i="1"/>
  <c r="B3616" i="1"/>
  <c r="A3617" i="1"/>
  <c r="B3617" i="1"/>
  <c r="A3618" i="1"/>
  <c r="B3618" i="1"/>
  <c r="A3619" i="1"/>
  <c r="A3620" i="1"/>
  <c r="B3620" i="1"/>
  <c r="A3621" i="1"/>
  <c r="B3621" i="1"/>
  <c r="A3622" i="1"/>
  <c r="B3622" i="1"/>
  <c r="A3623" i="1"/>
  <c r="B3623" i="1"/>
  <c r="A3624" i="1"/>
  <c r="B3624" i="1"/>
  <c r="A3625" i="1"/>
  <c r="A3626" i="1"/>
  <c r="B3626" i="1"/>
  <c r="A3627" i="1"/>
  <c r="B3627" i="1"/>
  <c r="A3628" i="1"/>
  <c r="B3628" i="1"/>
  <c r="A3629" i="1"/>
  <c r="A3630" i="1"/>
  <c r="B3630" i="1"/>
  <c r="A3631" i="1"/>
  <c r="B3631" i="1"/>
  <c r="A3632" i="1"/>
  <c r="A3633" i="1"/>
  <c r="A3634" i="1"/>
  <c r="B3634" i="1"/>
  <c r="A3635" i="1"/>
  <c r="B3635" i="1"/>
  <c r="A3636" i="1"/>
  <c r="A3637" i="1"/>
  <c r="B3637" i="1"/>
  <c r="A3638" i="1"/>
  <c r="B3638" i="1"/>
  <c r="A3639" i="1"/>
  <c r="B3639" i="1"/>
  <c r="A3640" i="1"/>
  <c r="B3640" i="1"/>
  <c r="A3641" i="1"/>
  <c r="B3641" i="1"/>
  <c r="A3642" i="1"/>
  <c r="A3643" i="1"/>
  <c r="A3644" i="1"/>
  <c r="A3645" i="1"/>
  <c r="A3646" i="1"/>
  <c r="B3646" i="1"/>
  <c r="A3647" i="1"/>
  <c r="A3648" i="1"/>
  <c r="A3649" i="1"/>
  <c r="B3649" i="1"/>
  <c r="A3650" i="1"/>
  <c r="B3650" i="1"/>
  <c r="A3651" i="1"/>
  <c r="B3651" i="1"/>
  <c r="A3652" i="1"/>
  <c r="B3652" i="1"/>
  <c r="A3653" i="1"/>
  <c r="B3653" i="1"/>
  <c r="A3654" i="1"/>
  <c r="B3654" i="1"/>
  <c r="A3655" i="1"/>
  <c r="B3655" i="1"/>
  <c r="A3656" i="1"/>
  <c r="B3656" i="1"/>
  <c r="A3657" i="1"/>
  <c r="B3657" i="1"/>
  <c r="A3658" i="1"/>
  <c r="B3658" i="1"/>
  <c r="A3659" i="1"/>
  <c r="B3659" i="1"/>
  <c r="A3660" i="1"/>
  <c r="B3660" i="1"/>
  <c r="A3661" i="1"/>
  <c r="B3661" i="1"/>
  <c r="A3662" i="1"/>
  <c r="B3662" i="1"/>
  <c r="A3663" i="1"/>
  <c r="B3663" i="1"/>
  <c r="A3664" i="1"/>
  <c r="B3664" i="1"/>
  <c r="A3665" i="1"/>
  <c r="B3665" i="1"/>
  <c r="A3666" i="1"/>
  <c r="B3666" i="1"/>
  <c r="A3667" i="1"/>
  <c r="B3667" i="1"/>
  <c r="A3668" i="1"/>
  <c r="B3668" i="1"/>
  <c r="A3669" i="1"/>
  <c r="B3669" i="1"/>
  <c r="A3670" i="1"/>
  <c r="B3670" i="1"/>
  <c r="A3671" i="1"/>
  <c r="B3671" i="1"/>
  <c r="A3672" i="1"/>
  <c r="B3672" i="1"/>
  <c r="A3673" i="1"/>
  <c r="B3673" i="1"/>
  <c r="A3674" i="1"/>
  <c r="B3674" i="1"/>
  <c r="A3675" i="1"/>
  <c r="B3675" i="1"/>
  <c r="A3676" i="1"/>
  <c r="B3676" i="1"/>
  <c r="A3677" i="1"/>
  <c r="B3677" i="1"/>
  <c r="A3678" i="1"/>
  <c r="B3678" i="1"/>
  <c r="A3679" i="1"/>
  <c r="B3679" i="1"/>
  <c r="A3680" i="1"/>
  <c r="A3681" i="1"/>
  <c r="A3682" i="1"/>
  <c r="B3682" i="1"/>
  <c r="A3683" i="1"/>
  <c r="A3684" i="1"/>
  <c r="B3684" i="1"/>
  <c r="A3685" i="1"/>
  <c r="A3686" i="1"/>
  <c r="B3686" i="1"/>
  <c r="A3687" i="1"/>
  <c r="B3687" i="1"/>
  <c r="A3688" i="1"/>
  <c r="B3688" i="1"/>
  <c r="A3689" i="1"/>
  <c r="B3689" i="1"/>
  <c r="A3690" i="1"/>
  <c r="B3690" i="1"/>
  <c r="A3691" i="1"/>
  <c r="A3692" i="1"/>
  <c r="A3693" i="1"/>
  <c r="A3694" i="1"/>
  <c r="A3695" i="1"/>
  <c r="B3695" i="1"/>
  <c r="A3696" i="1"/>
  <c r="B3696" i="1"/>
  <c r="A3697" i="1"/>
  <c r="B3697" i="1"/>
  <c r="A3698" i="1"/>
  <c r="A3699" i="1"/>
  <c r="B3699" i="1"/>
  <c r="A3700" i="1"/>
  <c r="B3700" i="1"/>
  <c r="A3701" i="1"/>
  <c r="B3701" i="1"/>
  <c r="A3702" i="1"/>
  <c r="A3703" i="1"/>
  <c r="B3703" i="1"/>
  <c r="A3704" i="1"/>
  <c r="A3705" i="1"/>
  <c r="B3705" i="1"/>
  <c r="A3706" i="1"/>
  <c r="B3706" i="1"/>
  <c r="A3707" i="1"/>
  <c r="B3707" i="1"/>
  <c r="A3708" i="1"/>
  <c r="A3709" i="1"/>
  <c r="B3709" i="1"/>
  <c r="A3710" i="1"/>
  <c r="B3710" i="1"/>
  <c r="A3711" i="1"/>
  <c r="B3711" i="1"/>
  <c r="A3712" i="1"/>
  <c r="B3712" i="1"/>
  <c r="A3713" i="1"/>
  <c r="A3714" i="1"/>
  <c r="A3715" i="1"/>
  <c r="A3716" i="1"/>
  <c r="B3716" i="1"/>
  <c r="A3717" i="1"/>
  <c r="B3717" i="1"/>
  <c r="A3718" i="1"/>
  <c r="A3719" i="1"/>
  <c r="B3719" i="1"/>
  <c r="A3720" i="1"/>
  <c r="B3720" i="1"/>
  <c r="A3721" i="1"/>
  <c r="B3721" i="1"/>
  <c r="A3722" i="1"/>
  <c r="B3722" i="1"/>
  <c r="A3723" i="1"/>
  <c r="B3723" i="1"/>
  <c r="A3724" i="1"/>
  <c r="B3724" i="1"/>
  <c r="A3725" i="1"/>
  <c r="B3725" i="1"/>
  <c r="A3726" i="1"/>
  <c r="A3727" i="1"/>
  <c r="B3727" i="1"/>
  <c r="A3728" i="1"/>
  <c r="B3728" i="1"/>
  <c r="A3729" i="1"/>
  <c r="B3729" i="1"/>
  <c r="A3730" i="1"/>
  <c r="B3730" i="1"/>
  <c r="A3731" i="1"/>
  <c r="B3731" i="1"/>
  <c r="A3732" i="1"/>
  <c r="A3733" i="1"/>
  <c r="B3733" i="1"/>
  <c r="A3734" i="1"/>
  <c r="B3734" i="1"/>
  <c r="A3735" i="1"/>
  <c r="B3735" i="1"/>
  <c r="A3736" i="1"/>
  <c r="A3737" i="1"/>
  <c r="B3737" i="1"/>
  <c r="A3738" i="1"/>
  <c r="B3738" i="1"/>
  <c r="A3739" i="1"/>
  <c r="B3739" i="1"/>
  <c r="A3740" i="1"/>
  <c r="B3740" i="1"/>
  <c r="A3741" i="1"/>
  <c r="B3741" i="1"/>
  <c r="A3742" i="1"/>
  <c r="B3742" i="1"/>
  <c r="A3743" i="1"/>
  <c r="B3743" i="1"/>
  <c r="A3744" i="1"/>
  <c r="B3744" i="1"/>
  <c r="A3745" i="1"/>
  <c r="B3745" i="1"/>
  <c r="A3746" i="1"/>
  <c r="B3746" i="1"/>
  <c r="A3747" i="1"/>
  <c r="B3747" i="1"/>
  <c r="A3748" i="1"/>
  <c r="B3748" i="1"/>
  <c r="A3749" i="1"/>
  <c r="B3749" i="1"/>
  <c r="A3750" i="1"/>
  <c r="B3750" i="1"/>
  <c r="A3751" i="1"/>
  <c r="B3751" i="1"/>
  <c r="A3752" i="1"/>
  <c r="B3752" i="1"/>
  <c r="A3753" i="1"/>
  <c r="B3753" i="1"/>
  <c r="A3754" i="1"/>
  <c r="B3754" i="1"/>
  <c r="A3755" i="1"/>
  <c r="B3755" i="1"/>
  <c r="A3756" i="1"/>
  <c r="B3756" i="1"/>
  <c r="A3757" i="1"/>
  <c r="B3757" i="1"/>
  <c r="A3758" i="1"/>
  <c r="B3758" i="1"/>
  <c r="A3759" i="1"/>
  <c r="B3759" i="1"/>
  <c r="A3760" i="1"/>
  <c r="B3760" i="1"/>
  <c r="A3761" i="1"/>
  <c r="B3761" i="1"/>
  <c r="A3762" i="1"/>
  <c r="B3762" i="1"/>
  <c r="A3763" i="1"/>
  <c r="A3764" i="1"/>
  <c r="B3764" i="1"/>
  <c r="A3765" i="1"/>
  <c r="B3765" i="1"/>
  <c r="A3766" i="1"/>
  <c r="B3766" i="1"/>
  <c r="A3767" i="1"/>
  <c r="A3768" i="1"/>
  <c r="B3768" i="1"/>
  <c r="A3769" i="1"/>
  <c r="B3769" i="1"/>
  <c r="A3770" i="1"/>
  <c r="B3770" i="1"/>
  <c r="A3771" i="1"/>
  <c r="B3771" i="1"/>
  <c r="A3772" i="1"/>
  <c r="B3772" i="1"/>
  <c r="A3773" i="1"/>
  <c r="B3773" i="1"/>
  <c r="A3774" i="1"/>
  <c r="B3774" i="1"/>
  <c r="A3775" i="1"/>
  <c r="B3775" i="1"/>
  <c r="A3776" i="1"/>
  <c r="B3776" i="1"/>
  <c r="A3777" i="1"/>
  <c r="A3778" i="1"/>
  <c r="B3778" i="1"/>
  <c r="A3779" i="1"/>
  <c r="B3779" i="1"/>
  <c r="A3780" i="1"/>
  <c r="B3780" i="1"/>
  <c r="A3781" i="1"/>
  <c r="B3781" i="1"/>
  <c r="A3782" i="1"/>
  <c r="B3782" i="1"/>
  <c r="A3783" i="1"/>
  <c r="B3783" i="1"/>
  <c r="A3784" i="1"/>
  <c r="B3784" i="1"/>
  <c r="A3785" i="1"/>
  <c r="A3786" i="1"/>
  <c r="B3786" i="1"/>
  <c r="A3787" i="1"/>
  <c r="B3787" i="1"/>
  <c r="A3788" i="1"/>
  <c r="B3788" i="1"/>
  <c r="A3789" i="1"/>
  <c r="B3789" i="1"/>
  <c r="A3790" i="1"/>
  <c r="A3791" i="1"/>
  <c r="B3791" i="1"/>
  <c r="A3792" i="1"/>
  <c r="B3792" i="1"/>
  <c r="A3793" i="1"/>
  <c r="B3793" i="1"/>
  <c r="A3794" i="1"/>
  <c r="B3794" i="1"/>
  <c r="A3795" i="1"/>
  <c r="B3795" i="1"/>
  <c r="A3796" i="1"/>
  <c r="B3796" i="1"/>
  <c r="A3797" i="1"/>
  <c r="B3797" i="1"/>
  <c r="A3798" i="1"/>
  <c r="B3798" i="1"/>
  <c r="A3799" i="1"/>
  <c r="B3799" i="1"/>
  <c r="A3800" i="1"/>
  <c r="B3800" i="1"/>
  <c r="A3801" i="1"/>
  <c r="B3801" i="1"/>
  <c r="A3802" i="1"/>
  <c r="B3802" i="1"/>
  <c r="A3803" i="1"/>
  <c r="B3803" i="1"/>
  <c r="A3804" i="1"/>
  <c r="B3804" i="1"/>
  <c r="A3805" i="1"/>
  <c r="B3805" i="1"/>
  <c r="A3806" i="1"/>
  <c r="B3806" i="1"/>
  <c r="A3807" i="1"/>
  <c r="A3808" i="1"/>
  <c r="B3808" i="1"/>
  <c r="A3809" i="1"/>
  <c r="B3809" i="1"/>
  <c r="A3810" i="1"/>
  <c r="B3810" i="1"/>
  <c r="A3811" i="1"/>
  <c r="B3811" i="1"/>
  <c r="A3812" i="1"/>
  <c r="B3812" i="1"/>
  <c r="A3813" i="1"/>
  <c r="B3813" i="1"/>
  <c r="A3814" i="1"/>
  <c r="B3814" i="1"/>
  <c r="A3815" i="1"/>
  <c r="B3815" i="1"/>
  <c r="A3816" i="1"/>
  <c r="B3816" i="1"/>
  <c r="A3817" i="1"/>
  <c r="B3817" i="1"/>
  <c r="A3818" i="1"/>
  <c r="B3818" i="1"/>
  <c r="A3819" i="1"/>
  <c r="B3819" i="1"/>
  <c r="A3820" i="1"/>
  <c r="A3821" i="1"/>
  <c r="B3821" i="1"/>
  <c r="A3822" i="1"/>
  <c r="B3822" i="1"/>
  <c r="A3823" i="1"/>
  <c r="B3823" i="1"/>
  <c r="A3824" i="1"/>
  <c r="B3824" i="1"/>
  <c r="A3825" i="1"/>
  <c r="B3825" i="1"/>
  <c r="A3826" i="1"/>
  <c r="B3826" i="1"/>
  <c r="A3827" i="1"/>
  <c r="B3827" i="1"/>
  <c r="A3828" i="1"/>
  <c r="A3829" i="1"/>
  <c r="B3829" i="1"/>
  <c r="A3830" i="1"/>
  <c r="B3830" i="1"/>
  <c r="A3831" i="1"/>
  <c r="A3832" i="1"/>
  <c r="B3832" i="1"/>
  <c r="A3833" i="1"/>
  <c r="B3833" i="1"/>
  <c r="A3834" i="1"/>
  <c r="B3834" i="1"/>
  <c r="A3835" i="1"/>
  <c r="B3835" i="1"/>
  <c r="A3836" i="1"/>
  <c r="B3836" i="1"/>
  <c r="A3837" i="1"/>
  <c r="A3838" i="1"/>
  <c r="B3838" i="1"/>
  <c r="A3839" i="1"/>
  <c r="B3839" i="1"/>
  <c r="A3840" i="1"/>
  <c r="B3840" i="1"/>
  <c r="A3841" i="1"/>
  <c r="B3841" i="1"/>
  <c r="A3842" i="1"/>
  <c r="B3842" i="1"/>
  <c r="A3843" i="1"/>
  <c r="B3843" i="1"/>
  <c r="A3844" i="1"/>
  <c r="A3845" i="1"/>
  <c r="A3846" i="1"/>
  <c r="B3846" i="1"/>
  <c r="A3847" i="1"/>
  <c r="B3847" i="1"/>
  <c r="A3848" i="1"/>
  <c r="B3848" i="1"/>
  <c r="A3849" i="1"/>
  <c r="B3849" i="1"/>
  <c r="A3850" i="1"/>
  <c r="B3850" i="1"/>
  <c r="A3851" i="1"/>
  <c r="B3851" i="1"/>
  <c r="A3852" i="1"/>
  <c r="B3852" i="1"/>
  <c r="A3853" i="1"/>
  <c r="A3854" i="1"/>
  <c r="B3854" i="1"/>
  <c r="A3855" i="1"/>
  <c r="B3855" i="1"/>
  <c r="A3856" i="1"/>
  <c r="B3856" i="1"/>
  <c r="A3857" i="1"/>
  <c r="A3858" i="1"/>
  <c r="B3858" i="1"/>
  <c r="A3859" i="1"/>
  <c r="B3859" i="1"/>
  <c r="A3860" i="1"/>
  <c r="B3860" i="1"/>
  <c r="A3861" i="1"/>
  <c r="B3861" i="1"/>
  <c r="A3862" i="1"/>
  <c r="B3862" i="1"/>
  <c r="A3863" i="1"/>
  <c r="B3863" i="1"/>
  <c r="A3864" i="1"/>
  <c r="B3864" i="1"/>
  <c r="A3865" i="1"/>
  <c r="B3865" i="1"/>
  <c r="A3866" i="1"/>
  <c r="B3866" i="1"/>
  <c r="A3867" i="1"/>
  <c r="B3867" i="1"/>
  <c r="A3868" i="1"/>
  <c r="B3868" i="1"/>
  <c r="A3869" i="1"/>
  <c r="B3869" i="1"/>
  <c r="A3870" i="1"/>
  <c r="B3870" i="1"/>
  <c r="A3871" i="1"/>
  <c r="B3871" i="1"/>
  <c r="A3872" i="1"/>
  <c r="B3872" i="1"/>
  <c r="A3873" i="1"/>
  <c r="B3873" i="1"/>
  <c r="A3874" i="1"/>
  <c r="B3874" i="1"/>
  <c r="A3875" i="1"/>
  <c r="B3875" i="1"/>
  <c r="A3876" i="1"/>
  <c r="A3877" i="1"/>
  <c r="A3878" i="1"/>
  <c r="B3878" i="1"/>
  <c r="A3879" i="1"/>
  <c r="A3880" i="1"/>
  <c r="A3881" i="1"/>
  <c r="A3882" i="1"/>
  <c r="B3882" i="1"/>
  <c r="A3883" i="1"/>
  <c r="B3883" i="1"/>
  <c r="A3884" i="1"/>
  <c r="B3884" i="1"/>
  <c r="A3885" i="1"/>
  <c r="B3885" i="1"/>
  <c r="A3886" i="1"/>
  <c r="B3886" i="1"/>
  <c r="A3887" i="1"/>
  <c r="B3887" i="1"/>
  <c r="A3888" i="1"/>
  <c r="B3888" i="1"/>
  <c r="A3889" i="1"/>
  <c r="B3889" i="1"/>
  <c r="A3890" i="1"/>
  <c r="A3891" i="1"/>
  <c r="A3892" i="1"/>
  <c r="B3892" i="1"/>
  <c r="A3893" i="1"/>
  <c r="B3893" i="1"/>
  <c r="A3894" i="1"/>
  <c r="B3894" i="1"/>
  <c r="A3895" i="1"/>
  <c r="B3895" i="1"/>
  <c r="A3896" i="1"/>
  <c r="A3897" i="1"/>
  <c r="A3898" i="1"/>
  <c r="A3899" i="1"/>
  <c r="B3899" i="1"/>
  <c r="A3900" i="1"/>
  <c r="B3900" i="1"/>
  <c r="A3901" i="1"/>
  <c r="A3902" i="1"/>
  <c r="A3903" i="1"/>
  <c r="A3904" i="1"/>
  <c r="B3904" i="1"/>
  <c r="A3905" i="1"/>
  <c r="B3905" i="1"/>
  <c r="A3906" i="1"/>
  <c r="B3906" i="1"/>
  <c r="A3907" i="1"/>
  <c r="B3907" i="1"/>
  <c r="A3908" i="1"/>
  <c r="B3908" i="1"/>
  <c r="A3909" i="1"/>
  <c r="A3910" i="1"/>
  <c r="B3910" i="1"/>
  <c r="A3911" i="1"/>
  <c r="B3911" i="1"/>
  <c r="A3912" i="1"/>
  <c r="B3912" i="1"/>
  <c r="A3913" i="1"/>
  <c r="B3913" i="1"/>
  <c r="A3914" i="1"/>
  <c r="B3914" i="1"/>
  <c r="A3915" i="1"/>
  <c r="B3915" i="1"/>
  <c r="A3916" i="1"/>
  <c r="B3916" i="1"/>
  <c r="A3917" i="1"/>
  <c r="A3918" i="1"/>
  <c r="B3918" i="1"/>
  <c r="A3919" i="1"/>
  <c r="B3919" i="1"/>
  <c r="A3920" i="1"/>
  <c r="A3921" i="1"/>
  <c r="B3921" i="1"/>
  <c r="A3922" i="1"/>
  <c r="B3922" i="1"/>
  <c r="A3923" i="1"/>
  <c r="B3923" i="1"/>
  <c r="A3924" i="1"/>
  <c r="A3925" i="1"/>
  <c r="A3926" i="1"/>
  <c r="A3927" i="1"/>
  <c r="B3927" i="1"/>
  <c r="A3928" i="1"/>
  <c r="B3928" i="1"/>
  <c r="A3929" i="1"/>
  <c r="B3929" i="1"/>
  <c r="A3930" i="1"/>
  <c r="B3930" i="1"/>
  <c r="A3931" i="1"/>
  <c r="A3932" i="1"/>
  <c r="B3932" i="1"/>
  <c r="A3933" i="1"/>
  <c r="B3933" i="1"/>
  <c r="A3934" i="1"/>
  <c r="B3934" i="1"/>
  <c r="A3935" i="1"/>
  <c r="A3936" i="1"/>
  <c r="B3936" i="1"/>
  <c r="A3937" i="1"/>
  <c r="B3937" i="1"/>
  <c r="A3938" i="1"/>
  <c r="B3938" i="1"/>
  <c r="A3939" i="1"/>
  <c r="B3939" i="1"/>
  <c r="A3940" i="1"/>
  <c r="B3940" i="1"/>
  <c r="A3941" i="1"/>
  <c r="B3941" i="1"/>
  <c r="A3942" i="1"/>
  <c r="B3942" i="1"/>
  <c r="A3943" i="1"/>
  <c r="B3943" i="1"/>
  <c r="A3944" i="1"/>
  <c r="B3944" i="1"/>
  <c r="A3945" i="1"/>
  <c r="B3945" i="1"/>
  <c r="A3946" i="1"/>
  <c r="B3946" i="1"/>
  <c r="A3947" i="1"/>
  <c r="A3948" i="1"/>
  <c r="A3949" i="1"/>
  <c r="A3950" i="1"/>
  <c r="A3951" i="1"/>
  <c r="A3952" i="1"/>
  <c r="A3953" i="1"/>
  <c r="B3953" i="1"/>
  <c r="A3954" i="1"/>
  <c r="B3954" i="1"/>
  <c r="A3955" i="1"/>
  <c r="B3955" i="1"/>
  <c r="A3956" i="1"/>
  <c r="B3956" i="1"/>
  <c r="A3957" i="1"/>
  <c r="B3957" i="1"/>
  <c r="A3958" i="1"/>
  <c r="B3958" i="1"/>
  <c r="A3959" i="1"/>
  <c r="B3959" i="1"/>
  <c r="A3960" i="1"/>
  <c r="B3960" i="1"/>
  <c r="A3961" i="1"/>
  <c r="B3961" i="1"/>
  <c r="A3962" i="1"/>
  <c r="B3962" i="1"/>
  <c r="A3963" i="1"/>
  <c r="B3963" i="1"/>
  <c r="A3964" i="1"/>
  <c r="B3964" i="1"/>
  <c r="A3965" i="1"/>
  <c r="B3965" i="1"/>
  <c r="A3966" i="1"/>
  <c r="B3966" i="1"/>
  <c r="A3967" i="1"/>
  <c r="B3967" i="1"/>
  <c r="A3968" i="1"/>
  <c r="B3968" i="1"/>
  <c r="A3969" i="1"/>
  <c r="B3969" i="1"/>
  <c r="A3970" i="1"/>
  <c r="B3970" i="1"/>
  <c r="A3971" i="1"/>
  <c r="B3971" i="1"/>
  <c r="A3972" i="1"/>
  <c r="A3973" i="1"/>
  <c r="B3973" i="1"/>
  <c r="A3974" i="1"/>
  <c r="B3974" i="1"/>
  <c r="A3975" i="1"/>
  <c r="B3975" i="1"/>
  <c r="A3976" i="1"/>
  <c r="B3976" i="1"/>
  <c r="A3977" i="1"/>
  <c r="B3977" i="1"/>
  <c r="A3978" i="1"/>
  <c r="B3978" i="1"/>
  <c r="A3979" i="1"/>
  <c r="B3979" i="1"/>
  <c r="A3980" i="1"/>
  <c r="B3980" i="1"/>
  <c r="A3981" i="1"/>
  <c r="B3981" i="1"/>
  <c r="A3982" i="1"/>
  <c r="B3982" i="1"/>
  <c r="A3983" i="1"/>
  <c r="B3983" i="1"/>
  <c r="A3984" i="1"/>
  <c r="B3984" i="1"/>
  <c r="A3985" i="1"/>
  <c r="A3986" i="1"/>
  <c r="B3986" i="1"/>
  <c r="A3987" i="1"/>
  <c r="B3987" i="1"/>
  <c r="A3988" i="1"/>
  <c r="B3988" i="1"/>
  <c r="A3989" i="1"/>
  <c r="B3989" i="1"/>
  <c r="A3990" i="1"/>
  <c r="B3990" i="1"/>
  <c r="A3991" i="1"/>
  <c r="B3991" i="1"/>
  <c r="A3992" i="1"/>
  <c r="B3992" i="1"/>
  <c r="A3993" i="1"/>
  <c r="B3993" i="1"/>
  <c r="A3994" i="1"/>
  <c r="A3995" i="1"/>
  <c r="B3995" i="1"/>
  <c r="A3996" i="1"/>
  <c r="B3996" i="1"/>
  <c r="A3997" i="1"/>
  <c r="B3997" i="1"/>
  <c r="A3998" i="1"/>
  <c r="B3998" i="1"/>
  <c r="A3999" i="1"/>
  <c r="A4000" i="1"/>
  <c r="B4000" i="1"/>
  <c r="A4001" i="1"/>
  <c r="B4001" i="1"/>
  <c r="A4002" i="1"/>
  <c r="B4002" i="1"/>
  <c r="A4003" i="1"/>
  <c r="B4003" i="1"/>
  <c r="A4004" i="1"/>
  <c r="B4004" i="1"/>
  <c r="A4005" i="1"/>
  <c r="B4005" i="1"/>
  <c r="A4006" i="1"/>
  <c r="B4006" i="1"/>
  <c r="A4007" i="1"/>
  <c r="B4007" i="1"/>
  <c r="A4008" i="1"/>
  <c r="A4009" i="1"/>
  <c r="B4009" i="1"/>
  <c r="A4010" i="1"/>
  <c r="B4010" i="1"/>
  <c r="A4011" i="1"/>
  <c r="B4011" i="1"/>
  <c r="A4012" i="1"/>
  <c r="B4012" i="1"/>
  <c r="A4013" i="1"/>
  <c r="B4013" i="1"/>
  <c r="A4014" i="1"/>
  <c r="B4014" i="1"/>
  <c r="A4015" i="1"/>
  <c r="B4015" i="1"/>
  <c r="A4016" i="1"/>
  <c r="B4016" i="1"/>
  <c r="A4017" i="1"/>
  <c r="B4017" i="1"/>
  <c r="A4018" i="1"/>
  <c r="B4018" i="1"/>
  <c r="A4019" i="1"/>
  <c r="B4019" i="1"/>
  <c r="A4020" i="1"/>
  <c r="B4020" i="1"/>
  <c r="A4021" i="1"/>
  <c r="B4021" i="1"/>
  <c r="A4022" i="1"/>
  <c r="B4022" i="1"/>
  <c r="A4023" i="1"/>
  <c r="B4023" i="1"/>
  <c r="A4024" i="1"/>
  <c r="B4024" i="1"/>
  <c r="A4025" i="1"/>
  <c r="B4025" i="1"/>
  <c r="A4026" i="1"/>
  <c r="B4026" i="1"/>
  <c r="A4027" i="1"/>
  <c r="B4027" i="1"/>
  <c r="A4028" i="1"/>
  <c r="B4028" i="1"/>
  <c r="A4029" i="1"/>
  <c r="B4029" i="1"/>
  <c r="A4030" i="1"/>
  <c r="B4030" i="1"/>
  <c r="A4031" i="1"/>
  <c r="B4031" i="1"/>
  <c r="A4032" i="1"/>
  <c r="B4032" i="1"/>
  <c r="A4033" i="1"/>
  <c r="B4033" i="1"/>
  <c r="A4034" i="1"/>
  <c r="B4034" i="1"/>
  <c r="A4035" i="1"/>
  <c r="B4035" i="1"/>
  <c r="A4036" i="1"/>
  <c r="B4036" i="1"/>
  <c r="A4037" i="1"/>
  <c r="B4037" i="1"/>
  <c r="A4038" i="1"/>
  <c r="B4038" i="1"/>
  <c r="A4039" i="1"/>
  <c r="B4039" i="1"/>
  <c r="A4040" i="1"/>
  <c r="B4040" i="1"/>
  <c r="A4041" i="1"/>
  <c r="B4041" i="1"/>
  <c r="A4042" i="1"/>
  <c r="B4042" i="1"/>
  <c r="A4043" i="1"/>
  <c r="B4043" i="1"/>
  <c r="A4044" i="1"/>
  <c r="B4044" i="1"/>
  <c r="A4045" i="1"/>
  <c r="B4045" i="1"/>
  <c r="A4046" i="1"/>
  <c r="B4046" i="1"/>
  <c r="A4047" i="1"/>
  <c r="B4047" i="1"/>
  <c r="A4048" i="1"/>
  <c r="B4048" i="1"/>
  <c r="A4049" i="1"/>
  <c r="B4049" i="1"/>
  <c r="A4050" i="1"/>
  <c r="B4050" i="1"/>
  <c r="A4051" i="1"/>
  <c r="B4051" i="1"/>
  <c r="A4052" i="1"/>
  <c r="B4052" i="1"/>
  <c r="A4053" i="1"/>
  <c r="B4053" i="1"/>
  <c r="A4054" i="1"/>
  <c r="B4054" i="1"/>
  <c r="A4055" i="1"/>
  <c r="B4055" i="1"/>
  <c r="A4056" i="1"/>
  <c r="B4056" i="1"/>
  <c r="A4057" i="1"/>
  <c r="B4057" i="1"/>
  <c r="A4058" i="1"/>
  <c r="B4058" i="1"/>
  <c r="A4059" i="1"/>
  <c r="B4059" i="1"/>
  <c r="A4060" i="1"/>
  <c r="B4060" i="1"/>
  <c r="A4061" i="1"/>
  <c r="B4061" i="1"/>
  <c r="A4062" i="1"/>
  <c r="B4062" i="1"/>
  <c r="A4063" i="1"/>
  <c r="B4063" i="1"/>
  <c r="A4064" i="1"/>
  <c r="B4064" i="1"/>
  <c r="A4065" i="1"/>
  <c r="B4065" i="1"/>
  <c r="A4066" i="1"/>
  <c r="B4066" i="1"/>
  <c r="A4067" i="1"/>
  <c r="B4067" i="1"/>
  <c r="A4068" i="1"/>
  <c r="B4068" i="1"/>
  <c r="A4069" i="1"/>
  <c r="B4069" i="1"/>
  <c r="A4070" i="1"/>
  <c r="B4070" i="1"/>
  <c r="A4071" i="1"/>
  <c r="B4071" i="1"/>
  <c r="A4072" i="1"/>
  <c r="B4072" i="1"/>
  <c r="A4073" i="1"/>
  <c r="B4073" i="1"/>
  <c r="A4074" i="1"/>
  <c r="A4075" i="1"/>
  <c r="A4076" i="1"/>
  <c r="B4076" i="1"/>
  <c r="A4077" i="1"/>
  <c r="A4078" i="1"/>
  <c r="B4078" i="1"/>
  <c r="A4079" i="1"/>
  <c r="A4080" i="1"/>
  <c r="B4080" i="1"/>
  <c r="A4081" i="1"/>
  <c r="B4081" i="1"/>
  <c r="A4082" i="1"/>
  <c r="A4083" i="1"/>
  <c r="B4083" i="1"/>
  <c r="A4084" i="1"/>
  <c r="B4084" i="1"/>
  <c r="A4085" i="1"/>
  <c r="B4085" i="1"/>
  <c r="A4086" i="1"/>
  <c r="B4086" i="1"/>
  <c r="A4087" i="1"/>
  <c r="B4087" i="1"/>
  <c r="A4088" i="1"/>
  <c r="B4088" i="1"/>
  <c r="A4089" i="1"/>
  <c r="B4089" i="1"/>
  <c r="A4090" i="1"/>
  <c r="B4090" i="1"/>
  <c r="A4091" i="1"/>
  <c r="B4091" i="1"/>
  <c r="A4092" i="1"/>
  <c r="B4092" i="1"/>
  <c r="A4093" i="1"/>
  <c r="B4093" i="1"/>
  <c r="A4094" i="1"/>
  <c r="A4095" i="1"/>
  <c r="A4096" i="1"/>
  <c r="A4097" i="1"/>
  <c r="B4097" i="1"/>
  <c r="A4098" i="1"/>
  <c r="A4099" i="1"/>
  <c r="A4100" i="1"/>
  <c r="A4101" i="1"/>
  <c r="A4102" i="1"/>
  <c r="B4102" i="1"/>
  <c r="A4103" i="1"/>
  <c r="A4104" i="1"/>
  <c r="A4105" i="1"/>
  <c r="B4105" i="1"/>
  <c r="A4106" i="1"/>
  <c r="B4106" i="1"/>
  <c r="A4107" i="1"/>
  <c r="B4107" i="1"/>
  <c r="A4108" i="1"/>
  <c r="B4108" i="1"/>
  <c r="A4109" i="1"/>
  <c r="A4110" i="1"/>
  <c r="B4110" i="1"/>
  <c r="A4111" i="1"/>
  <c r="B4111" i="1"/>
  <c r="A4112" i="1"/>
  <c r="A4113" i="1"/>
  <c r="A4114" i="1"/>
  <c r="A4115" i="1"/>
  <c r="A4116" i="1"/>
  <c r="B4116" i="1"/>
  <c r="A4117" i="1"/>
  <c r="A4118" i="1"/>
  <c r="B4118" i="1"/>
  <c r="A4119" i="1"/>
  <c r="B4119" i="1"/>
  <c r="A4120" i="1"/>
  <c r="A4121" i="1"/>
  <c r="A4122" i="1"/>
  <c r="B4122" i="1"/>
  <c r="A4123" i="1"/>
  <c r="B4123" i="1"/>
  <c r="A4124" i="1"/>
  <c r="B4124" i="1"/>
  <c r="A4125" i="1"/>
  <c r="B4125" i="1"/>
  <c r="A4126" i="1"/>
  <c r="B4126" i="1"/>
  <c r="A4127" i="1"/>
  <c r="B4127" i="1"/>
  <c r="A4128" i="1"/>
  <c r="B4128" i="1"/>
  <c r="A4129" i="1"/>
  <c r="B4129" i="1"/>
  <c r="A4130" i="1"/>
  <c r="B4130" i="1"/>
  <c r="A4131" i="1"/>
  <c r="B4131" i="1"/>
  <c r="A4132" i="1"/>
  <c r="B4132" i="1"/>
  <c r="A4133" i="1"/>
  <c r="B4133" i="1"/>
  <c r="A4134" i="1"/>
  <c r="B4134" i="1"/>
  <c r="A4135" i="1"/>
  <c r="B4135" i="1"/>
  <c r="A4136" i="1"/>
  <c r="A4137" i="1"/>
  <c r="B4137" i="1"/>
  <c r="A4138" i="1"/>
  <c r="B4138" i="1"/>
  <c r="A4139" i="1"/>
  <c r="B4139" i="1"/>
  <c r="A4140" i="1"/>
  <c r="B4140" i="1"/>
  <c r="A4141" i="1"/>
  <c r="B4141" i="1"/>
  <c r="A4142" i="1"/>
  <c r="A4143" i="1"/>
  <c r="B4143" i="1"/>
  <c r="A4144" i="1"/>
  <c r="B4144" i="1"/>
  <c r="A4145" i="1"/>
  <c r="B4145" i="1"/>
  <c r="A4146" i="1"/>
  <c r="B4146" i="1"/>
  <c r="A4147" i="1"/>
  <c r="B4147" i="1"/>
  <c r="A4148" i="1"/>
  <c r="B4148" i="1"/>
  <c r="A4149" i="1"/>
  <c r="B4149" i="1"/>
  <c r="A4150" i="1"/>
  <c r="B4150" i="1"/>
  <c r="A4151" i="1"/>
  <c r="B4151" i="1"/>
  <c r="A4152" i="1"/>
  <c r="B4152" i="1"/>
  <c r="A4153" i="1"/>
  <c r="A4154" i="1"/>
  <c r="A4155" i="1"/>
  <c r="B4155" i="1"/>
  <c r="A4156" i="1"/>
  <c r="B4156" i="1"/>
  <c r="A4157" i="1"/>
  <c r="B4157" i="1"/>
  <c r="A4158" i="1"/>
  <c r="B4158" i="1"/>
  <c r="A4159" i="1"/>
  <c r="B4159" i="1"/>
  <c r="A4160" i="1"/>
  <c r="A4161" i="1"/>
  <c r="A4162" i="1"/>
  <c r="A4163" i="1"/>
  <c r="B4163" i="1"/>
  <c r="A4164" i="1"/>
  <c r="A4165" i="1"/>
  <c r="A4166" i="1"/>
  <c r="A4167" i="1"/>
  <c r="A4168" i="1"/>
  <c r="B4168" i="1"/>
  <c r="A4169" i="1"/>
  <c r="B4169" i="1"/>
  <c r="A4170" i="1"/>
  <c r="B4170" i="1"/>
  <c r="A4171" i="1"/>
  <c r="A4172" i="1"/>
  <c r="B4172" i="1"/>
  <c r="A4173" i="1"/>
  <c r="B4173" i="1"/>
  <c r="A4174" i="1"/>
  <c r="B4174" i="1"/>
  <c r="A4175" i="1"/>
  <c r="B4175" i="1"/>
  <c r="A4176" i="1"/>
  <c r="B4176" i="1"/>
  <c r="A4177" i="1"/>
  <c r="B4177" i="1"/>
  <c r="A4178" i="1"/>
  <c r="B4178" i="1"/>
  <c r="A4179" i="1"/>
  <c r="B4179" i="1"/>
  <c r="A4180" i="1"/>
  <c r="B4180" i="1"/>
  <c r="A4181" i="1"/>
  <c r="B4181" i="1"/>
  <c r="A4182" i="1"/>
  <c r="A4183" i="1"/>
  <c r="A4184" i="1"/>
  <c r="B4184" i="1"/>
  <c r="A4185" i="1"/>
  <c r="B4185" i="1"/>
  <c r="A4186" i="1"/>
  <c r="B4186" i="1"/>
  <c r="A4187" i="1"/>
  <c r="B4187" i="1"/>
  <c r="A4188" i="1"/>
  <c r="A4189" i="1"/>
  <c r="B4189" i="1"/>
  <c r="A4190" i="1"/>
  <c r="B4190" i="1"/>
  <c r="A4191" i="1"/>
  <c r="B4191" i="1"/>
  <c r="A4192" i="1"/>
  <c r="B4192" i="1"/>
  <c r="A4193" i="1"/>
  <c r="A4194" i="1"/>
  <c r="B4194" i="1"/>
  <c r="A4195" i="1"/>
  <c r="B4195" i="1"/>
  <c r="A4196" i="1"/>
  <c r="B4196" i="1"/>
  <c r="A4197" i="1"/>
  <c r="A4198" i="1"/>
  <c r="A4199" i="1"/>
  <c r="A4200" i="1"/>
  <c r="B4200" i="1"/>
  <c r="A4201" i="1"/>
  <c r="B4201" i="1"/>
  <c r="A4202" i="1"/>
  <c r="B4202" i="1"/>
  <c r="A4203" i="1"/>
  <c r="A4204" i="1"/>
  <c r="B4204" i="1"/>
  <c r="A4205" i="1"/>
  <c r="A4206" i="1"/>
  <c r="B4206" i="1"/>
  <c r="A4207" i="1"/>
  <c r="B4207" i="1"/>
  <c r="A4208" i="1"/>
  <c r="B4208" i="1"/>
  <c r="A4209" i="1"/>
  <c r="B4209" i="1"/>
  <c r="A4210" i="1"/>
  <c r="B4210" i="1"/>
  <c r="A4211" i="1"/>
  <c r="A4212" i="1"/>
  <c r="B4212" i="1"/>
  <c r="A4213" i="1"/>
  <c r="B4213" i="1"/>
  <c r="A4214" i="1"/>
  <c r="B4214" i="1"/>
  <c r="A4215" i="1"/>
  <c r="B4215" i="1"/>
  <c r="A4216" i="1"/>
  <c r="A4217" i="1"/>
  <c r="B4217" i="1"/>
  <c r="A4218" i="1"/>
  <c r="B4218" i="1"/>
  <c r="A4219" i="1"/>
  <c r="B4219" i="1"/>
  <c r="A4220" i="1"/>
  <c r="B4220" i="1"/>
  <c r="A4221" i="1"/>
  <c r="B4221" i="1"/>
  <c r="A4222" i="1"/>
  <c r="B4222" i="1"/>
  <c r="A4223" i="1"/>
  <c r="B4223" i="1"/>
  <c r="A4224" i="1"/>
  <c r="B4224" i="1"/>
  <c r="A4225" i="1"/>
  <c r="B4225" i="1"/>
  <c r="A4226" i="1"/>
  <c r="B4226" i="1"/>
  <c r="A4227" i="1"/>
  <c r="B4227" i="1"/>
  <c r="A4228" i="1"/>
  <c r="B4228" i="1"/>
  <c r="A4229" i="1"/>
  <c r="B4229" i="1"/>
  <c r="A4230" i="1"/>
  <c r="B4230" i="1"/>
  <c r="A4231" i="1"/>
  <c r="B4231" i="1"/>
  <c r="A4232" i="1"/>
  <c r="B4232" i="1"/>
  <c r="A4233" i="1"/>
  <c r="B4233" i="1"/>
  <c r="A4234" i="1"/>
  <c r="B4234" i="1"/>
  <c r="A4235" i="1"/>
  <c r="B4235" i="1"/>
  <c r="A4236" i="1"/>
  <c r="B4236" i="1"/>
  <c r="A4237" i="1"/>
  <c r="B4237" i="1"/>
  <c r="A4238" i="1"/>
  <c r="B4238" i="1"/>
  <c r="A4239" i="1"/>
  <c r="B4239" i="1"/>
  <c r="A4240" i="1"/>
  <c r="B4240" i="1"/>
  <c r="A4241" i="1"/>
  <c r="B4241" i="1"/>
  <c r="A4242" i="1"/>
  <c r="B4242" i="1"/>
  <c r="A4243" i="1"/>
  <c r="B4243" i="1"/>
  <c r="A4244" i="1"/>
  <c r="A4245" i="1"/>
  <c r="B4245" i="1"/>
  <c r="A4246" i="1"/>
  <c r="A4247" i="1"/>
  <c r="A4248" i="1"/>
  <c r="A4249" i="1"/>
  <c r="A4250" i="1"/>
  <c r="A4251" i="1"/>
  <c r="A4252" i="1"/>
  <c r="A4253" i="1"/>
  <c r="A4254" i="1"/>
  <c r="A4255" i="1"/>
  <c r="A4256" i="1"/>
  <c r="A4257" i="1"/>
  <c r="A4258" i="1"/>
  <c r="B4258" i="1"/>
  <c r="A4259" i="1"/>
  <c r="B4259" i="1"/>
  <c r="A4260" i="1"/>
  <c r="B4260" i="1"/>
  <c r="A4261" i="1"/>
  <c r="B4261" i="1"/>
  <c r="A4262" i="1"/>
  <c r="B4262" i="1"/>
  <c r="A4263" i="1"/>
  <c r="B4263" i="1"/>
  <c r="A4264" i="1"/>
  <c r="B4264" i="1"/>
  <c r="A4265" i="1"/>
  <c r="B4265" i="1"/>
  <c r="A4266" i="1"/>
  <c r="A4267" i="1"/>
  <c r="B4267" i="1"/>
  <c r="A4268" i="1"/>
  <c r="A4269" i="1"/>
  <c r="B4269" i="1"/>
  <c r="A4270" i="1"/>
  <c r="A4271" i="1"/>
  <c r="B4271" i="1"/>
  <c r="A4272" i="1"/>
  <c r="B4272" i="1"/>
  <c r="A4273" i="1"/>
  <c r="B4273" i="1"/>
  <c r="A4274" i="1"/>
  <c r="B4274" i="1"/>
  <c r="A4275" i="1"/>
  <c r="B4275" i="1"/>
  <c r="A4276" i="1"/>
  <c r="B4276" i="1"/>
  <c r="A4277" i="1"/>
  <c r="A4278" i="1"/>
  <c r="A4279" i="1"/>
  <c r="B4279" i="1"/>
  <c r="A4280" i="1"/>
  <c r="B4280" i="1"/>
  <c r="A4281" i="1"/>
  <c r="B4281" i="1"/>
  <c r="A4282" i="1"/>
  <c r="B4282" i="1"/>
  <c r="A4283" i="1"/>
  <c r="B4283" i="1"/>
  <c r="A4284" i="1"/>
  <c r="B4284" i="1"/>
  <c r="A4285" i="1"/>
  <c r="B4285" i="1"/>
  <c r="A4286" i="1"/>
  <c r="B4286" i="1"/>
  <c r="A4287" i="1"/>
  <c r="A4288" i="1"/>
  <c r="B4288" i="1"/>
  <c r="A4289" i="1"/>
  <c r="B4289" i="1"/>
  <c r="A4290" i="1"/>
  <c r="B4290" i="1"/>
  <c r="A4291" i="1"/>
  <c r="A4292" i="1"/>
  <c r="B4292" i="1"/>
  <c r="A4293" i="1"/>
  <c r="B4293" i="1"/>
  <c r="A4294" i="1"/>
  <c r="B4294" i="1"/>
  <c r="A4295" i="1"/>
  <c r="B4295" i="1"/>
  <c r="A4296" i="1"/>
  <c r="B4296" i="1"/>
  <c r="A4297" i="1"/>
  <c r="B4297" i="1"/>
  <c r="A4298" i="1"/>
  <c r="A4299" i="1"/>
  <c r="B4299" i="1"/>
  <c r="A4300" i="1"/>
  <c r="B4300" i="1"/>
  <c r="A4301" i="1"/>
  <c r="B4301" i="1"/>
  <c r="A4302" i="1"/>
  <c r="B4302" i="1"/>
  <c r="A4303" i="1"/>
  <c r="B4303" i="1"/>
  <c r="A4304" i="1"/>
  <c r="B4304" i="1"/>
  <c r="A4305" i="1"/>
  <c r="B4305" i="1"/>
  <c r="A4306" i="1"/>
  <c r="B4306" i="1"/>
  <c r="A4307" i="1"/>
  <c r="B4307" i="1"/>
  <c r="A4308" i="1"/>
  <c r="B4308" i="1"/>
  <c r="A4309" i="1"/>
  <c r="B4309" i="1"/>
  <c r="A4310" i="1"/>
  <c r="B4310" i="1"/>
  <c r="A4311" i="1"/>
  <c r="A4312" i="1"/>
  <c r="B4312" i="1"/>
  <c r="A4313" i="1"/>
  <c r="B4313" i="1"/>
  <c r="A4314" i="1"/>
  <c r="B4314" i="1"/>
  <c r="A4315" i="1"/>
  <c r="B4315" i="1"/>
  <c r="A4316" i="1"/>
  <c r="B4316" i="1"/>
  <c r="A4317" i="1"/>
  <c r="A4318" i="1"/>
  <c r="B4318" i="1"/>
  <c r="A4319" i="1"/>
  <c r="B4319" i="1"/>
  <c r="A4320" i="1"/>
  <c r="A4321" i="1"/>
  <c r="B4321" i="1"/>
  <c r="A4322" i="1"/>
  <c r="B4322" i="1"/>
  <c r="A4323" i="1"/>
  <c r="B4323" i="1"/>
  <c r="A4324" i="1"/>
  <c r="B4324" i="1"/>
  <c r="A4325" i="1"/>
  <c r="B4325" i="1"/>
  <c r="A4326" i="1"/>
  <c r="A4327" i="1"/>
  <c r="A4328" i="1"/>
  <c r="A4329" i="1"/>
  <c r="A4330" i="1"/>
  <c r="B4330" i="1"/>
  <c r="A4331" i="1"/>
  <c r="B4331" i="1"/>
  <c r="A4332" i="1"/>
  <c r="A4333" i="1"/>
  <c r="A4334" i="1"/>
  <c r="B4334" i="1"/>
  <c r="A4335" i="1"/>
  <c r="B4335" i="1"/>
  <c r="A4336" i="1"/>
  <c r="A4337" i="1"/>
  <c r="A4338" i="1"/>
  <c r="A4339" i="1"/>
  <c r="A4340" i="1"/>
  <c r="A4341" i="1"/>
  <c r="B4341" i="1"/>
  <c r="A4342" i="1"/>
  <c r="B4342" i="1"/>
  <c r="A4343" i="1"/>
  <c r="A4344" i="1"/>
  <c r="B4344" i="1"/>
  <c r="A4345" i="1"/>
  <c r="A4346" i="1"/>
  <c r="A4347" i="1"/>
  <c r="A4348" i="1"/>
  <c r="B4348" i="1"/>
  <c r="A4349" i="1"/>
  <c r="A4350" i="1"/>
  <c r="B4350" i="1"/>
  <c r="A4351" i="1"/>
  <c r="B4351" i="1"/>
  <c r="A4352" i="1"/>
  <c r="B4352" i="1"/>
  <c r="A4353" i="1"/>
  <c r="B4353" i="1"/>
  <c r="A4354" i="1"/>
  <c r="A4355" i="1"/>
  <c r="A4356" i="1"/>
  <c r="A4357" i="1"/>
  <c r="A4358" i="1"/>
  <c r="B4358" i="1"/>
  <c r="A4359" i="1"/>
  <c r="A4360" i="1"/>
  <c r="B4360" i="1"/>
  <c r="A4361" i="1"/>
  <c r="A4362" i="1"/>
  <c r="B4362" i="1"/>
  <c r="A4363" i="1"/>
  <c r="A4364" i="1"/>
  <c r="B4364" i="1"/>
  <c r="A4365" i="1"/>
  <c r="A4366" i="1"/>
  <c r="A4367" i="1"/>
  <c r="A4368" i="1"/>
  <c r="A4369" i="1"/>
  <c r="A4370" i="1"/>
  <c r="B4370" i="1"/>
  <c r="A4371" i="1"/>
  <c r="B4371" i="1"/>
  <c r="A4372" i="1"/>
  <c r="B4372" i="1"/>
  <c r="A4373" i="1"/>
  <c r="A4374" i="1"/>
  <c r="A4375" i="1"/>
  <c r="B4375" i="1"/>
  <c r="A4376" i="1"/>
  <c r="A4377" i="1"/>
  <c r="A4378" i="1"/>
  <c r="B4378" i="1"/>
  <c r="A4379" i="1"/>
  <c r="B4379" i="1"/>
  <c r="A4380" i="1"/>
  <c r="B4380" i="1"/>
  <c r="A4381" i="1"/>
  <c r="B4381" i="1"/>
  <c r="A4382" i="1"/>
  <c r="B4382" i="1"/>
  <c r="A4383" i="1"/>
  <c r="B4383" i="1"/>
  <c r="A4384" i="1"/>
  <c r="B4384" i="1"/>
  <c r="A4385" i="1"/>
  <c r="A4386" i="1"/>
  <c r="B4386" i="1"/>
  <c r="A4387" i="1"/>
  <c r="B4387" i="1"/>
  <c r="A4388" i="1"/>
  <c r="B4388" i="1"/>
  <c r="A4389" i="1"/>
  <c r="B4389" i="1"/>
  <c r="A4390" i="1"/>
  <c r="A4391" i="1"/>
  <c r="B4391" i="1"/>
  <c r="A4392" i="1"/>
  <c r="B4392" i="1"/>
  <c r="A4393" i="1"/>
  <c r="B4393" i="1"/>
  <c r="A4394" i="1"/>
  <c r="B4394" i="1"/>
  <c r="A4395" i="1"/>
  <c r="B4395" i="1"/>
  <c r="A4396" i="1"/>
  <c r="B4396" i="1"/>
  <c r="A4397" i="1"/>
  <c r="A4398" i="1"/>
  <c r="B4398" i="1"/>
  <c r="A4399" i="1"/>
  <c r="B4399" i="1"/>
  <c r="A4400" i="1"/>
  <c r="B4400" i="1"/>
  <c r="A4401" i="1"/>
  <c r="B4401" i="1"/>
  <c r="A4402" i="1"/>
  <c r="B4402" i="1"/>
  <c r="A4403" i="1"/>
  <c r="B4403" i="1"/>
  <c r="A4404" i="1"/>
  <c r="B4404" i="1"/>
  <c r="A4405" i="1"/>
  <c r="B4405" i="1"/>
  <c r="A4406" i="1"/>
  <c r="B4406" i="1"/>
  <c r="A4407" i="1"/>
  <c r="B4407" i="1"/>
  <c r="A4408" i="1"/>
  <c r="A4409" i="1"/>
  <c r="B4409" i="1"/>
  <c r="A4410" i="1"/>
  <c r="B4410" i="1"/>
  <c r="A4411" i="1"/>
  <c r="B4411" i="1"/>
  <c r="A4412" i="1"/>
  <c r="B4412" i="1"/>
  <c r="A4413" i="1"/>
  <c r="B4413" i="1"/>
  <c r="A4414" i="1"/>
  <c r="B4414" i="1"/>
  <c r="A4415" i="1"/>
  <c r="A4416" i="1"/>
  <c r="A4417" i="1"/>
  <c r="B4417" i="1"/>
  <c r="A4418" i="1"/>
  <c r="B4418" i="1"/>
  <c r="A4419" i="1"/>
  <c r="B4419" i="1"/>
  <c r="A4420" i="1"/>
  <c r="B4420" i="1"/>
  <c r="A4421" i="1"/>
  <c r="B4421" i="1"/>
  <c r="A4422" i="1"/>
  <c r="B4422" i="1"/>
  <c r="A4423" i="1"/>
  <c r="B4423" i="1"/>
  <c r="A4424" i="1"/>
  <c r="B4424" i="1"/>
  <c r="A4425" i="1"/>
  <c r="B4425" i="1"/>
  <c r="A4426" i="1"/>
  <c r="B4426" i="1"/>
  <c r="A4427" i="1"/>
  <c r="A4428" i="1"/>
  <c r="B4428" i="1"/>
  <c r="A4429" i="1"/>
  <c r="B4429" i="1"/>
  <c r="A4430" i="1"/>
  <c r="B4430" i="1"/>
  <c r="A4431" i="1"/>
  <c r="B4431" i="1"/>
  <c r="A4432" i="1"/>
  <c r="A4433" i="1"/>
  <c r="B4433" i="1"/>
  <c r="A4434" i="1"/>
  <c r="A4435" i="1"/>
  <c r="B4435" i="1"/>
  <c r="A4436" i="1"/>
  <c r="B4436" i="1"/>
  <c r="A4437" i="1"/>
  <c r="B4437" i="1"/>
  <c r="A4438" i="1"/>
  <c r="B4438" i="1"/>
  <c r="A4439" i="1"/>
  <c r="B4439" i="1"/>
  <c r="A4440" i="1"/>
  <c r="B4440" i="1"/>
  <c r="A4441" i="1"/>
  <c r="B4441" i="1"/>
  <c r="A4442" i="1"/>
  <c r="B4442" i="1"/>
  <c r="A4443" i="1"/>
  <c r="B4443" i="1"/>
  <c r="A4444" i="1"/>
  <c r="A4445" i="1"/>
  <c r="A4446" i="1"/>
  <c r="B4446" i="1"/>
  <c r="A4447" i="1"/>
  <c r="B4447" i="1"/>
  <c r="A4448" i="1"/>
  <c r="B4448" i="1"/>
  <c r="A4449" i="1"/>
  <c r="B4449" i="1"/>
  <c r="A4450" i="1"/>
  <c r="B4450" i="1"/>
  <c r="A4451" i="1"/>
  <c r="B4451" i="1"/>
  <c r="A4452" i="1"/>
  <c r="B4452" i="1"/>
  <c r="A4453" i="1"/>
  <c r="B4453" i="1"/>
  <c r="A4454" i="1"/>
  <c r="B4454" i="1"/>
  <c r="A4455" i="1"/>
  <c r="A4456" i="1"/>
  <c r="A4457" i="1"/>
  <c r="B4457" i="1"/>
  <c r="A4458" i="1"/>
  <c r="B4458" i="1"/>
  <c r="A4459" i="1"/>
  <c r="B4459" i="1"/>
  <c r="A4460" i="1"/>
  <c r="B4460" i="1"/>
  <c r="A4461" i="1"/>
  <c r="B4461" i="1"/>
  <c r="A4462" i="1"/>
  <c r="B4462" i="1"/>
  <c r="A4463" i="1"/>
  <c r="B4463" i="1"/>
  <c r="A4464" i="1"/>
  <c r="B4464" i="1"/>
  <c r="A4465" i="1"/>
  <c r="B4465" i="1"/>
  <c r="A4466" i="1"/>
  <c r="B4466" i="1"/>
  <c r="A4467" i="1"/>
  <c r="B4467" i="1"/>
  <c r="A4468" i="1"/>
  <c r="A4469" i="1"/>
  <c r="B4469" i="1"/>
  <c r="A4470" i="1"/>
  <c r="B4470" i="1"/>
  <c r="A4471" i="1"/>
  <c r="B4471" i="1"/>
  <c r="A4472" i="1"/>
  <c r="A4473" i="1"/>
  <c r="B4473" i="1"/>
  <c r="A4474" i="1"/>
  <c r="B4474" i="1"/>
  <c r="A4475" i="1"/>
  <c r="B4475" i="1"/>
  <c r="A4476" i="1"/>
  <c r="B4476" i="1"/>
  <c r="A4477" i="1"/>
  <c r="B4477" i="1"/>
  <c r="A4478" i="1"/>
  <c r="B4478" i="1"/>
  <c r="A4479" i="1"/>
  <c r="B4479" i="1"/>
  <c r="A4480" i="1"/>
  <c r="B4480" i="1"/>
  <c r="A4481" i="1"/>
  <c r="B4481" i="1"/>
  <c r="A4482" i="1"/>
  <c r="B4482" i="1"/>
  <c r="A4483" i="1"/>
  <c r="B4483" i="1"/>
  <c r="A4484" i="1"/>
  <c r="A4485" i="1"/>
  <c r="A4486" i="1"/>
  <c r="B4486" i="1"/>
  <c r="A4487" i="1"/>
  <c r="A4488" i="1"/>
  <c r="B4488" i="1"/>
  <c r="A4489" i="1"/>
  <c r="B4489" i="1"/>
  <c r="A4490" i="1"/>
  <c r="B4490" i="1"/>
  <c r="A4491" i="1"/>
  <c r="A4492" i="1"/>
  <c r="B4492" i="1"/>
  <c r="A4493" i="1"/>
  <c r="B4493" i="1"/>
  <c r="A4494" i="1"/>
  <c r="B4494" i="1"/>
  <c r="A4495" i="1"/>
  <c r="B4495" i="1"/>
  <c r="A4496" i="1"/>
  <c r="B4496" i="1"/>
  <c r="A4497" i="1"/>
  <c r="A4498" i="1"/>
  <c r="B4498" i="1"/>
  <c r="A4499" i="1"/>
  <c r="B4499" i="1"/>
  <c r="A4500" i="1"/>
  <c r="A4501" i="1"/>
  <c r="B4501" i="1"/>
  <c r="A4502" i="1"/>
  <c r="B4502" i="1"/>
  <c r="A4503" i="1"/>
  <c r="B4503" i="1"/>
  <c r="A4504" i="1"/>
  <c r="B4504" i="1"/>
  <c r="A4505" i="1"/>
  <c r="A4506" i="1"/>
  <c r="B4506" i="1"/>
  <c r="A4507" i="1"/>
  <c r="B4507" i="1"/>
  <c r="A4508" i="1"/>
  <c r="B4508" i="1"/>
  <c r="A4509" i="1"/>
  <c r="A4510" i="1"/>
  <c r="A4511" i="1"/>
  <c r="B4511" i="1"/>
  <c r="A4512" i="1"/>
  <c r="B4512" i="1"/>
  <c r="A4513" i="1"/>
  <c r="B4513" i="1"/>
  <c r="A4514" i="1"/>
  <c r="B4514" i="1"/>
  <c r="A4515" i="1"/>
  <c r="B4515" i="1"/>
  <c r="A4516" i="1"/>
  <c r="A4517" i="1"/>
  <c r="B4517" i="1"/>
  <c r="A4518" i="1"/>
  <c r="B4518" i="1"/>
  <c r="A4519" i="1"/>
  <c r="B4519" i="1"/>
  <c r="A4520" i="1"/>
  <c r="B4520" i="1"/>
  <c r="A4521" i="1"/>
  <c r="B4521" i="1"/>
  <c r="A4522" i="1"/>
  <c r="B4522" i="1"/>
  <c r="A4523" i="1"/>
  <c r="B4523" i="1"/>
  <c r="A4524" i="1"/>
  <c r="B4524" i="1"/>
  <c r="A4525" i="1"/>
  <c r="B4525" i="1"/>
  <c r="A4526" i="1"/>
  <c r="B4526" i="1"/>
  <c r="A4527" i="1"/>
  <c r="B4527" i="1"/>
  <c r="A4528" i="1"/>
  <c r="B4528" i="1"/>
  <c r="A4529" i="1"/>
  <c r="B4529" i="1"/>
  <c r="A4530" i="1"/>
  <c r="B4530" i="1"/>
  <c r="A4531" i="1"/>
  <c r="B4531" i="1"/>
  <c r="A4532" i="1"/>
  <c r="B4532" i="1"/>
  <c r="A4533" i="1"/>
  <c r="B4533" i="1"/>
  <c r="A4534" i="1"/>
  <c r="B4534" i="1"/>
  <c r="A4535" i="1"/>
  <c r="B4535" i="1"/>
  <c r="A4536" i="1"/>
  <c r="B4536" i="1"/>
  <c r="A4537" i="1"/>
  <c r="B4537" i="1"/>
  <c r="A4538" i="1"/>
  <c r="B4538" i="1"/>
  <c r="A4539" i="1"/>
  <c r="B4539" i="1"/>
  <c r="A4540" i="1"/>
  <c r="B4540" i="1"/>
  <c r="A4541" i="1"/>
  <c r="A4542" i="1"/>
  <c r="A4543" i="1"/>
  <c r="A4544" i="1"/>
  <c r="A4545" i="1"/>
  <c r="A4546" i="1"/>
  <c r="B4546" i="1"/>
  <c r="A4547" i="1"/>
  <c r="B4547" i="1"/>
  <c r="A4548" i="1"/>
  <c r="A4549" i="1"/>
  <c r="A4550" i="1"/>
  <c r="B4550" i="1"/>
  <c r="A4551" i="1"/>
  <c r="B4551" i="1"/>
  <c r="A4552" i="1"/>
  <c r="A4553" i="1"/>
  <c r="B4553" i="1"/>
  <c r="A4554" i="1"/>
  <c r="B4554" i="1"/>
  <c r="A4555" i="1"/>
  <c r="B4555" i="1"/>
  <c r="A4556" i="1"/>
  <c r="A4557" i="1"/>
  <c r="A4558" i="1"/>
  <c r="B4558" i="1"/>
  <c r="A4559" i="1"/>
  <c r="A4560" i="1"/>
  <c r="B4560" i="1"/>
  <c r="A4561" i="1"/>
  <c r="B4561" i="1"/>
  <c r="A4562" i="1"/>
  <c r="B4562" i="1"/>
  <c r="A4563" i="1"/>
  <c r="B4563" i="1"/>
  <c r="A4564" i="1"/>
  <c r="B4564" i="1"/>
  <c r="A4565" i="1"/>
  <c r="B4565" i="1"/>
  <c r="A4566" i="1"/>
  <c r="B4566" i="1"/>
  <c r="A4567" i="1"/>
  <c r="B4567" i="1"/>
  <c r="A4568" i="1"/>
  <c r="B4568" i="1"/>
  <c r="A4569" i="1"/>
  <c r="B4569" i="1"/>
  <c r="A4570" i="1"/>
  <c r="A4571" i="1"/>
  <c r="A4572" i="1"/>
  <c r="B4572" i="1"/>
  <c r="A4573" i="1"/>
  <c r="B4573" i="1"/>
  <c r="A4574" i="1"/>
  <c r="B4574" i="1"/>
  <c r="A4575" i="1"/>
  <c r="B4575" i="1"/>
  <c r="A4576" i="1"/>
  <c r="B4576" i="1"/>
  <c r="A4577" i="1"/>
  <c r="B4577" i="1"/>
  <c r="A4578" i="1"/>
  <c r="B4578" i="1"/>
  <c r="A4579" i="1"/>
  <c r="B4579" i="1"/>
  <c r="A4580" i="1"/>
  <c r="A4581" i="1"/>
  <c r="A4582" i="1"/>
  <c r="B4582" i="1"/>
  <c r="A4583" i="1"/>
  <c r="B4583" i="1"/>
  <c r="A4584" i="1"/>
  <c r="B4584" i="1"/>
  <c r="A4585" i="1"/>
  <c r="B4585" i="1"/>
  <c r="A4586" i="1"/>
  <c r="A4587" i="1"/>
  <c r="B4587" i="1"/>
  <c r="A4588" i="1"/>
  <c r="A4589" i="1"/>
  <c r="B4589" i="1"/>
  <c r="A4590" i="1"/>
  <c r="A4591" i="1"/>
  <c r="A4592" i="1"/>
  <c r="A4593" i="1"/>
  <c r="A4594" i="1"/>
  <c r="A4595" i="1"/>
  <c r="A4596" i="1"/>
  <c r="B4596" i="1"/>
  <c r="A4597" i="1"/>
  <c r="B4597" i="1"/>
  <c r="A4598" i="1"/>
  <c r="A4599" i="1"/>
  <c r="B4599" i="1"/>
  <c r="A4600" i="1"/>
  <c r="A4601" i="1"/>
  <c r="B4601" i="1"/>
  <c r="A4602" i="1"/>
  <c r="B4602" i="1"/>
  <c r="A4603" i="1"/>
  <c r="B4603" i="1"/>
  <c r="A4604" i="1"/>
  <c r="A4605" i="1"/>
  <c r="B4605" i="1"/>
  <c r="A4606" i="1"/>
  <c r="B4606" i="1"/>
  <c r="A4607" i="1"/>
  <c r="B4607" i="1"/>
  <c r="A4608" i="1"/>
  <c r="B4608" i="1"/>
  <c r="A4609" i="1"/>
  <c r="A4610" i="1"/>
  <c r="A4611" i="1"/>
  <c r="A4612" i="1"/>
  <c r="A4613" i="1"/>
  <c r="A4614" i="1"/>
  <c r="A4615" i="1"/>
  <c r="B4615" i="1"/>
  <c r="A4616" i="1"/>
  <c r="A4617" i="1"/>
  <c r="B4617" i="1"/>
  <c r="A4618" i="1"/>
  <c r="B4618" i="1"/>
  <c r="A4619" i="1"/>
  <c r="B4619" i="1"/>
  <c r="A4620" i="1"/>
  <c r="B4620" i="1"/>
  <c r="A4621" i="1"/>
  <c r="B4621" i="1"/>
  <c r="A4622" i="1"/>
  <c r="B4622" i="1"/>
  <c r="A4623" i="1"/>
  <c r="B4623" i="1"/>
  <c r="A4624" i="1"/>
  <c r="B4624" i="1"/>
  <c r="A4625" i="1"/>
  <c r="B4625" i="1"/>
  <c r="A4626" i="1"/>
  <c r="B4626" i="1"/>
  <c r="A4627" i="1"/>
  <c r="A4628" i="1"/>
  <c r="B4628" i="1"/>
  <c r="A4629" i="1"/>
  <c r="A4630" i="1"/>
  <c r="B4630" i="1"/>
  <c r="A4631" i="1"/>
  <c r="B4631" i="1"/>
  <c r="A4632" i="1"/>
  <c r="B4632" i="1"/>
  <c r="A4633" i="1"/>
  <c r="A4634" i="1"/>
  <c r="B4634" i="1"/>
  <c r="A4635" i="1"/>
  <c r="B4635" i="1"/>
  <c r="A4636" i="1"/>
  <c r="B4636" i="1"/>
  <c r="A4637" i="1"/>
  <c r="B4637" i="1"/>
  <c r="A4638" i="1"/>
  <c r="B4638" i="1"/>
  <c r="A4639" i="1"/>
  <c r="B4639" i="1"/>
  <c r="A4640" i="1"/>
  <c r="B4640" i="1"/>
  <c r="A4641" i="1"/>
  <c r="B4641" i="1"/>
  <c r="A4642" i="1"/>
  <c r="A4643" i="1"/>
  <c r="B4643" i="1"/>
  <c r="A4644" i="1"/>
  <c r="B4644" i="1"/>
  <c r="A4645" i="1"/>
  <c r="B4645" i="1"/>
  <c r="A4646" i="1"/>
  <c r="B4646" i="1"/>
  <c r="A4647" i="1"/>
  <c r="B4647" i="1"/>
  <c r="A4648" i="1"/>
  <c r="A4649" i="1"/>
  <c r="B4649" i="1"/>
  <c r="A4650" i="1"/>
  <c r="B4650" i="1"/>
  <c r="A4651" i="1"/>
  <c r="B4651" i="1"/>
  <c r="A4652" i="1"/>
  <c r="B4652" i="1"/>
  <c r="A4653" i="1"/>
  <c r="B4653" i="1"/>
  <c r="A4654" i="1"/>
  <c r="B4654" i="1"/>
  <c r="A4655" i="1"/>
  <c r="B4655" i="1"/>
  <c r="A4656" i="1"/>
  <c r="B4656" i="1"/>
  <c r="A4657" i="1"/>
  <c r="B4657" i="1"/>
  <c r="A4658" i="1"/>
  <c r="B4658" i="1"/>
  <c r="A4659" i="1"/>
  <c r="B4659" i="1"/>
  <c r="A4660" i="1"/>
  <c r="B4660" i="1"/>
  <c r="A4661" i="1"/>
  <c r="A4662" i="1"/>
  <c r="A4663" i="1"/>
  <c r="B4663" i="1"/>
  <c r="A4664" i="1"/>
  <c r="B4664" i="1"/>
  <c r="A4665" i="1"/>
  <c r="B4665" i="1"/>
  <c r="A4666" i="1"/>
  <c r="B4666" i="1"/>
  <c r="A4667" i="1"/>
  <c r="B4667" i="1"/>
  <c r="A4668" i="1"/>
  <c r="B4668" i="1"/>
  <c r="A4669" i="1"/>
  <c r="A4670" i="1"/>
  <c r="B4670" i="1"/>
  <c r="A4671" i="1"/>
  <c r="B4671" i="1"/>
  <c r="A4672" i="1"/>
  <c r="B4672" i="1"/>
  <c r="A4673" i="1"/>
  <c r="B4673" i="1"/>
  <c r="A4674" i="1"/>
  <c r="B4674" i="1"/>
  <c r="A4675" i="1"/>
  <c r="B4675" i="1"/>
  <c r="A4676" i="1"/>
  <c r="B4676" i="1"/>
  <c r="A4677" i="1"/>
  <c r="A4678" i="1"/>
  <c r="B4678" i="1"/>
  <c r="A4679" i="1"/>
  <c r="B4679" i="1"/>
  <c r="A4680" i="1"/>
  <c r="B4680" i="1"/>
  <c r="A4681" i="1"/>
  <c r="B4681" i="1"/>
  <c r="A4682" i="1"/>
  <c r="B4682" i="1"/>
  <c r="A4683" i="1"/>
  <c r="A4684" i="1"/>
  <c r="B4684" i="1"/>
  <c r="A4685" i="1"/>
  <c r="B4685" i="1"/>
  <c r="A4686" i="1"/>
  <c r="B4686" i="1"/>
  <c r="A4687" i="1"/>
  <c r="B4687" i="1"/>
  <c r="A4688" i="1"/>
  <c r="B4688" i="1"/>
  <c r="A4689" i="1"/>
  <c r="B4689" i="1"/>
  <c r="A4690" i="1"/>
  <c r="B4690" i="1"/>
  <c r="A4691" i="1"/>
  <c r="B4691" i="1"/>
  <c r="A4692" i="1"/>
  <c r="B4692" i="1"/>
  <c r="A4693" i="1"/>
  <c r="A4694" i="1"/>
  <c r="A4695" i="1"/>
  <c r="B4695" i="1"/>
  <c r="A4696" i="1"/>
  <c r="A4697" i="1"/>
  <c r="B4697" i="1"/>
  <c r="A4698" i="1"/>
  <c r="A4699" i="1"/>
  <c r="A4700" i="1"/>
  <c r="A4701" i="1"/>
  <c r="A4702" i="1"/>
  <c r="B4702" i="1"/>
  <c r="A4703" i="1"/>
  <c r="A4704" i="1"/>
  <c r="B4704" i="1"/>
  <c r="A4705" i="1"/>
  <c r="B4705" i="1"/>
  <c r="A4706" i="1"/>
  <c r="B4706" i="1"/>
  <c r="A4707" i="1"/>
  <c r="B4707" i="1"/>
  <c r="A4708" i="1"/>
  <c r="B4708" i="1"/>
  <c r="A4709" i="1"/>
  <c r="B4709" i="1"/>
  <c r="A4710" i="1"/>
  <c r="B4710" i="1"/>
  <c r="A4711" i="1"/>
  <c r="B4711" i="1"/>
  <c r="A4712" i="1"/>
  <c r="B4712" i="1"/>
  <c r="A4713" i="1"/>
  <c r="B4713" i="1"/>
  <c r="A4714" i="1"/>
  <c r="B4714" i="1"/>
  <c r="A4715" i="1"/>
  <c r="B4715" i="1"/>
  <c r="A4716" i="1"/>
  <c r="B4716" i="1"/>
  <c r="A4717" i="1"/>
  <c r="B4717" i="1"/>
  <c r="A4718" i="1"/>
  <c r="B4718" i="1"/>
  <c r="A4719" i="1"/>
  <c r="B4719" i="1"/>
  <c r="A4720" i="1"/>
  <c r="B4720" i="1"/>
  <c r="A4721" i="1"/>
  <c r="B4721" i="1"/>
  <c r="A4722" i="1"/>
  <c r="B4722" i="1"/>
  <c r="A4723" i="1"/>
  <c r="B4723" i="1"/>
  <c r="A4724" i="1"/>
  <c r="B4724" i="1"/>
  <c r="A4725" i="1"/>
  <c r="B4725" i="1"/>
  <c r="A4726" i="1"/>
  <c r="A4727" i="1"/>
  <c r="B4727" i="1"/>
  <c r="A4728" i="1"/>
  <c r="B4728" i="1"/>
  <c r="A4729" i="1"/>
  <c r="A4730" i="1"/>
  <c r="B4730" i="1"/>
  <c r="A4731" i="1"/>
  <c r="A4732" i="1"/>
  <c r="A4733" i="1"/>
  <c r="B4733" i="1"/>
  <c r="A4734" i="1"/>
  <c r="B4734" i="1"/>
  <c r="A4735" i="1"/>
  <c r="B4735" i="1"/>
  <c r="A4736" i="1"/>
  <c r="B4736" i="1"/>
  <c r="A4737" i="1"/>
  <c r="B4737" i="1"/>
  <c r="A4738" i="1"/>
  <c r="A4739" i="1"/>
  <c r="B4739" i="1"/>
  <c r="A4740" i="1"/>
  <c r="B4740" i="1"/>
  <c r="A4741" i="1"/>
  <c r="B4741" i="1"/>
  <c r="A4742" i="1"/>
  <c r="A4743" i="1"/>
  <c r="B4743" i="1"/>
  <c r="A4744" i="1"/>
  <c r="B4744" i="1"/>
  <c r="A4745" i="1"/>
  <c r="B4745" i="1"/>
  <c r="A4746" i="1"/>
  <c r="B4746" i="1"/>
  <c r="A4747" i="1"/>
  <c r="B4747" i="1"/>
  <c r="A4748" i="1"/>
  <c r="B4748" i="1"/>
  <c r="A4749" i="1"/>
  <c r="B4749" i="1"/>
  <c r="A4750" i="1"/>
  <c r="B4750" i="1"/>
  <c r="A4751" i="1"/>
  <c r="B4751" i="1"/>
  <c r="A4752" i="1"/>
  <c r="B4752" i="1"/>
  <c r="A4753" i="1"/>
  <c r="B4753" i="1"/>
  <c r="A4754" i="1"/>
  <c r="B4754" i="1"/>
  <c r="A4755" i="1"/>
  <c r="B4755" i="1"/>
  <c r="A4756" i="1"/>
  <c r="B4756" i="1"/>
  <c r="A4757" i="1"/>
  <c r="B4757" i="1"/>
  <c r="A4758" i="1"/>
  <c r="B4758" i="1"/>
  <c r="A4759" i="1"/>
  <c r="B4759" i="1"/>
  <c r="A4760" i="1"/>
  <c r="B4760" i="1"/>
  <c r="A4761" i="1"/>
  <c r="B4761" i="1"/>
  <c r="A4762" i="1"/>
  <c r="B4762" i="1"/>
  <c r="A4763" i="1"/>
  <c r="B4763" i="1"/>
  <c r="A4764" i="1"/>
  <c r="B4764" i="1"/>
  <c r="A4765" i="1"/>
  <c r="B4765" i="1"/>
  <c r="A4766" i="1"/>
  <c r="B4766" i="1"/>
  <c r="A4767" i="1"/>
  <c r="B4767" i="1"/>
  <c r="A4768" i="1"/>
  <c r="A4769" i="1"/>
  <c r="B4769" i="1"/>
  <c r="A4770" i="1"/>
  <c r="A4771" i="1"/>
  <c r="B4771" i="1"/>
  <c r="A4772" i="1"/>
  <c r="A4773" i="1"/>
  <c r="B4773" i="1"/>
  <c r="A4774" i="1"/>
  <c r="B4774" i="1"/>
  <c r="A4775" i="1"/>
  <c r="B4775" i="1"/>
  <c r="A4776" i="1"/>
  <c r="B4776" i="1"/>
  <c r="A4777" i="1"/>
  <c r="B4777" i="1"/>
  <c r="A4778" i="1"/>
  <c r="A4779" i="1"/>
  <c r="B4779" i="1"/>
  <c r="A4780" i="1"/>
  <c r="B4780" i="1"/>
  <c r="A4781" i="1"/>
  <c r="B4781" i="1"/>
  <c r="A4782" i="1"/>
  <c r="B4782" i="1"/>
  <c r="A4783" i="1"/>
  <c r="B4783" i="1"/>
  <c r="A4784" i="1"/>
  <c r="B4784" i="1"/>
  <c r="A4785" i="1"/>
  <c r="B4785" i="1"/>
  <c r="A4786" i="1"/>
  <c r="B4786" i="1"/>
  <c r="A4787" i="1"/>
  <c r="B4787" i="1"/>
  <c r="A4788" i="1"/>
  <c r="B4788" i="1"/>
  <c r="A4789" i="1"/>
  <c r="B4789" i="1"/>
  <c r="A4790" i="1"/>
  <c r="A4791" i="1"/>
  <c r="B4791" i="1"/>
  <c r="A4792" i="1"/>
  <c r="B4792" i="1"/>
  <c r="A4793" i="1"/>
  <c r="B4793" i="1"/>
  <c r="A4794" i="1"/>
  <c r="B4794" i="1"/>
  <c r="A4795" i="1"/>
  <c r="B4795" i="1"/>
  <c r="A4796" i="1"/>
  <c r="A4797" i="1"/>
  <c r="B4797" i="1"/>
  <c r="A4798" i="1"/>
  <c r="B4798" i="1"/>
  <c r="A4799" i="1"/>
  <c r="B4799" i="1"/>
  <c r="A4800" i="1"/>
  <c r="A4801" i="1"/>
  <c r="B4801" i="1"/>
  <c r="A4802" i="1"/>
  <c r="B4802" i="1"/>
  <c r="A4803" i="1"/>
  <c r="A4804" i="1"/>
  <c r="B4804" i="1"/>
  <c r="A4805" i="1"/>
  <c r="A4806" i="1"/>
  <c r="A4807" i="1"/>
  <c r="B4807" i="1"/>
  <c r="A4808" i="1"/>
  <c r="B4808" i="1"/>
  <c r="A4809" i="1"/>
  <c r="B4809" i="1"/>
  <c r="A4810" i="1"/>
  <c r="B4810" i="1"/>
  <c r="A4811" i="1"/>
  <c r="A4812" i="1"/>
  <c r="B4812" i="1"/>
  <c r="A4813" i="1"/>
  <c r="A4814" i="1"/>
  <c r="A4815" i="1"/>
  <c r="A4816" i="1"/>
  <c r="B4816" i="1"/>
  <c r="A4817" i="1"/>
  <c r="B4817" i="1"/>
  <c r="A4818" i="1"/>
  <c r="B4818" i="1"/>
  <c r="A4819" i="1"/>
  <c r="B4819" i="1"/>
  <c r="A4820" i="1"/>
  <c r="B4820" i="1"/>
  <c r="A4821" i="1"/>
  <c r="B4821" i="1"/>
  <c r="A4822" i="1"/>
  <c r="B4822" i="1"/>
  <c r="A4823" i="1"/>
  <c r="B4823" i="1"/>
  <c r="A4824" i="1"/>
  <c r="B4824" i="1"/>
  <c r="A4825" i="1"/>
  <c r="B4825" i="1"/>
  <c r="A4826" i="1"/>
  <c r="B4826" i="1"/>
  <c r="A4827" i="1"/>
  <c r="A4828" i="1"/>
  <c r="A4829" i="1"/>
  <c r="A4830" i="1"/>
  <c r="A4831" i="1"/>
  <c r="B4831" i="1"/>
  <c r="A4832" i="1"/>
  <c r="B4832" i="1"/>
  <c r="A4833" i="1"/>
  <c r="B4833" i="1"/>
  <c r="A4834" i="1"/>
  <c r="B4834" i="1"/>
  <c r="A4835" i="1"/>
  <c r="B4835" i="1"/>
  <c r="A4836" i="1"/>
  <c r="B4836" i="1"/>
  <c r="A4837" i="1"/>
  <c r="B4837" i="1"/>
  <c r="A4838" i="1"/>
  <c r="B4838" i="1"/>
  <c r="A4839" i="1"/>
  <c r="B4839" i="1"/>
  <c r="A4840" i="1"/>
  <c r="A4841" i="1"/>
  <c r="B4841" i="1"/>
  <c r="A4842" i="1"/>
  <c r="A4843" i="1"/>
  <c r="A4844" i="1"/>
  <c r="A4845" i="1"/>
  <c r="B4845" i="1"/>
  <c r="A4846" i="1"/>
  <c r="B4846" i="1"/>
  <c r="A4847" i="1"/>
  <c r="B4847" i="1"/>
  <c r="A4848" i="1"/>
  <c r="A4849" i="1"/>
  <c r="B4849" i="1"/>
  <c r="A4850" i="1"/>
  <c r="B4850" i="1"/>
  <c r="A4851" i="1"/>
  <c r="B4851" i="1"/>
  <c r="A4852" i="1"/>
  <c r="B4852" i="1"/>
  <c r="A4853" i="1"/>
  <c r="B4853" i="1"/>
  <c r="A4854" i="1"/>
  <c r="B4854" i="1"/>
  <c r="A4855" i="1"/>
  <c r="B4855" i="1"/>
  <c r="A4856" i="1"/>
  <c r="A4857" i="1"/>
  <c r="B4857" i="1"/>
  <c r="A4858" i="1"/>
  <c r="B4858" i="1"/>
  <c r="A4859" i="1"/>
  <c r="B4859" i="1"/>
  <c r="A4860" i="1"/>
  <c r="B4860" i="1"/>
  <c r="A4861" i="1"/>
  <c r="B4861" i="1"/>
  <c r="A4862" i="1"/>
  <c r="B4862" i="1"/>
  <c r="A4863" i="1"/>
  <c r="B4863" i="1"/>
  <c r="A4864" i="1"/>
  <c r="A4865" i="1"/>
  <c r="B4865" i="1"/>
  <c r="A4866" i="1"/>
  <c r="B4866" i="1"/>
  <c r="A4867" i="1"/>
  <c r="B4867" i="1"/>
  <c r="A4868" i="1"/>
  <c r="B4868" i="1"/>
  <c r="A4869" i="1"/>
  <c r="B4869" i="1"/>
  <c r="A4870" i="1"/>
  <c r="B4870" i="1"/>
  <c r="A4871" i="1"/>
  <c r="B4871" i="1"/>
  <c r="A4872" i="1"/>
  <c r="B4872" i="1"/>
  <c r="A4873" i="1"/>
  <c r="B4873" i="1"/>
  <c r="A4874" i="1"/>
  <c r="B4874" i="1"/>
  <c r="A4875" i="1"/>
  <c r="B4875" i="1"/>
  <c r="A4876" i="1"/>
  <c r="B4876" i="1"/>
  <c r="A4877" i="1"/>
  <c r="B4877" i="1"/>
  <c r="A4878" i="1"/>
  <c r="B4878" i="1"/>
  <c r="A4879" i="1"/>
  <c r="B4879" i="1"/>
  <c r="A4880" i="1"/>
  <c r="A4881" i="1"/>
  <c r="B4881" i="1"/>
  <c r="A4882" i="1"/>
  <c r="B4882" i="1"/>
  <c r="A4883" i="1"/>
  <c r="B4883" i="1"/>
  <c r="A4884" i="1"/>
  <c r="B4884" i="1"/>
  <c r="A4885" i="1"/>
  <c r="B4885" i="1"/>
  <c r="A4886" i="1"/>
  <c r="B4886" i="1"/>
  <c r="A4887" i="1"/>
  <c r="B4887" i="1"/>
  <c r="A4888" i="1"/>
  <c r="A4889" i="1"/>
  <c r="A4890" i="1"/>
  <c r="B4890" i="1"/>
  <c r="A4891" i="1"/>
  <c r="B4891" i="1"/>
  <c r="A4892" i="1"/>
  <c r="A4893" i="1"/>
  <c r="B4893" i="1"/>
  <c r="A4894" i="1"/>
  <c r="B4894" i="1"/>
  <c r="A4895" i="1"/>
  <c r="B4895" i="1"/>
  <c r="A4896" i="1"/>
  <c r="B4896" i="1"/>
  <c r="A4897" i="1"/>
  <c r="B4897" i="1"/>
  <c r="A4898" i="1"/>
  <c r="B4898" i="1"/>
  <c r="A4899" i="1"/>
  <c r="B4899" i="1"/>
  <c r="A4900" i="1"/>
  <c r="B4900" i="1"/>
  <c r="A4901" i="1"/>
  <c r="B4901" i="1"/>
  <c r="A4902" i="1"/>
  <c r="B4902" i="1"/>
  <c r="A4903" i="1"/>
  <c r="B4903" i="1"/>
  <c r="A4904" i="1"/>
  <c r="B4904" i="1"/>
  <c r="A4905" i="1"/>
  <c r="B4905" i="1"/>
  <c r="A4906" i="1"/>
  <c r="B4906" i="1"/>
  <c r="A4907" i="1"/>
  <c r="B4907" i="1"/>
  <c r="A4908" i="1"/>
  <c r="B4908" i="1"/>
  <c r="A4909" i="1"/>
  <c r="B4909" i="1"/>
  <c r="A4910" i="1"/>
  <c r="B4910" i="1"/>
  <c r="A4911" i="1"/>
  <c r="B4911" i="1"/>
  <c r="A4912" i="1"/>
  <c r="B4912" i="1"/>
  <c r="A4913" i="1"/>
  <c r="B4913" i="1"/>
  <c r="A4914" i="1"/>
  <c r="B4914" i="1"/>
  <c r="A4915" i="1"/>
  <c r="B4915" i="1"/>
  <c r="A4916" i="1"/>
  <c r="B4916" i="1"/>
  <c r="A4917" i="1"/>
  <c r="B4917" i="1"/>
  <c r="A4918" i="1"/>
  <c r="B4918" i="1"/>
  <c r="A4919" i="1"/>
  <c r="B4919" i="1"/>
  <c r="A4920" i="1"/>
  <c r="B4920" i="1"/>
  <c r="A4921" i="1"/>
  <c r="B4921" i="1"/>
  <c r="A4922" i="1"/>
  <c r="B4922" i="1"/>
  <c r="A4923" i="1"/>
  <c r="B4923" i="1"/>
  <c r="A4924" i="1"/>
  <c r="B4924" i="1"/>
  <c r="A4925" i="1"/>
  <c r="B4925" i="1"/>
  <c r="A4926" i="1"/>
  <c r="B4926" i="1"/>
  <c r="A4927" i="1"/>
  <c r="B4927" i="1"/>
  <c r="A4928" i="1"/>
  <c r="A4929" i="1"/>
  <c r="B4929" i="1"/>
  <c r="A4930" i="1"/>
  <c r="B4930" i="1"/>
  <c r="A4931" i="1"/>
  <c r="B4931" i="1"/>
  <c r="A4932" i="1"/>
  <c r="B4932" i="1"/>
  <c r="A4933" i="1"/>
  <c r="A4934" i="1"/>
  <c r="A4935" i="1"/>
  <c r="B4935" i="1"/>
  <c r="A4936" i="1"/>
  <c r="B4936" i="1"/>
  <c r="A4937" i="1"/>
  <c r="B4937" i="1"/>
  <c r="A4938" i="1"/>
  <c r="B4938" i="1"/>
  <c r="A4939" i="1"/>
  <c r="A4940" i="1"/>
  <c r="B4940" i="1"/>
  <c r="A4941" i="1"/>
  <c r="A4942" i="1"/>
  <c r="B4942" i="1"/>
  <c r="A4943" i="1"/>
  <c r="B4943" i="1"/>
  <c r="A4944" i="1"/>
  <c r="A4945" i="1"/>
  <c r="B4945" i="1"/>
  <c r="A4946" i="1"/>
  <c r="B4946" i="1"/>
  <c r="A4947" i="1"/>
  <c r="B4947" i="1"/>
  <c r="A4948" i="1"/>
  <c r="A4949" i="1"/>
  <c r="B4949" i="1"/>
  <c r="A4950" i="1"/>
  <c r="B4950" i="1"/>
  <c r="A4951" i="1"/>
  <c r="B4951" i="1"/>
  <c r="A4952" i="1"/>
  <c r="B4952" i="1"/>
  <c r="A4953" i="1"/>
  <c r="A4954" i="1"/>
  <c r="B4954" i="1"/>
  <c r="A4955" i="1"/>
  <c r="B4955" i="1"/>
  <c r="A4956" i="1"/>
  <c r="A4957" i="1"/>
  <c r="A4958" i="1"/>
  <c r="B4958" i="1"/>
  <c r="A4959" i="1"/>
  <c r="B4959" i="1"/>
  <c r="A4960" i="1"/>
  <c r="B4960" i="1"/>
  <c r="A4961" i="1"/>
  <c r="B4961" i="1"/>
  <c r="A4962" i="1"/>
  <c r="B4962" i="1"/>
  <c r="A4963" i="1"/>
  <c r="B4963" i="1"/>
  <c r="A4964" i="1"/>
  <c r="B4964" i="1"/>
  <c r="A4965" i="1"/>
  <c r="B4965" i="1"/>
  <c r="A4966" i="1"/>
  <c r="B4966" i="1"/>
  <c r="A4967" i="1"/>
  <c r="B4967" i="1"/>
  <c r="A4968" i="1"/>
  <c r="B4968" i="1"/>
  <c r="A4969" i="1"/>
  <c r="B4969" i="1"/>
  <c r="A4970" i="1"/>
  <c r="B4970" i="1"/>
  <c r="A4971" i="1"/>
  <c r="A4972" i="1"/>
  <c r="A4973" i="1"/>
  <c r="B4973" i="1"/>
  <c r="A4974" i="1"/>
  <c r="B4974" i="1"/>
  <c r="A4975" i="1"/>
  <c r="B4975" i="1"/>
  <c r="A4976" i="1"/>
  <c r="B4976" i="1"/>
  <c r="A4977" i="1"/>
  <c r="A4978" i="1"/>
  <c r="A4979" i="1"/>
  <c r="B4979" i="1"/>
  <c r="A4980" i="1"/>
  <c r="B4980" i="1"/>
  <c r="A4981" i="1"/>
  <c r="B4981" i="1"/>
  <c r="A4982" i="1"/>
  <c r="B4982" i="1"/>
  <c r="A4983" i="1"/>
  <c r="B4983" i="1"/>
  <c r="A4984" i="1"/>
  <c r="B4984" i="1"/>
  <c r="A4985" i="1"/>
  <c r="B4985" i="1"/>
  <c r="A4986" i="1"/>
  <c r="A4987" i="1"/>
  <c r="B4987" i="1"/>
  <c r="A4988" i="1"/>
  <c r="B4988" i="1"/>
  <c r="A4989" i="1"/>
  <c r="A4990" i="1"/>
  <c r="B4990" i="1"/>
  <c r="A4991" i="1"/>
  <c r="A4992" i="1"/>
  <c r="B4992" i="1"/>
  <c r="A4993" i="1"/>
  <c r="B4993" i="1"/>
  <c r="A4994" i="1"/>
  <c r="B4994" i="1"/>
  <c r="A4995" i="1"/>
  <c r="B4995" i="1"/>
  <c r="A4996" i="1"/>
  <c r="B4996" i="1"/>
  <c r="A4997" i="1"/>
  <c r="B4997" i="1"/>
  <c r="A4998" i="1"/>
  <c r="B4998" i="1"/>
  <c r="A4999" i="1"/>
  <c r="B4999" i="1"/>
  <c r="A5000" i="1"/>
  <c r="B5000" i="1"/>
  <c r="A5001" i="1"/>
  <c r="B5001" i="1"/>
  <c r="A5002" i="1"/>
  <c r="B5002" i="1"/>
  <c r="A5003" i="1"/>
  <c r="B5003" i="1"/>
  <c r="A5004" i="1"/>
  <c r="A5005" i="1"/>
  <c r="B5005" i="1"/>
  <c r="A5006" i="1"/>
  <c r="B5006" i="1"/>
  <c r="A5007" i="1"/>
  <c r="B5007" i="1"/>
  <c r="A5008" i="1"/>
  <c r="B5008" i="1"/>
  <c r="A5009" i="1"/>
  <c r="B5009" i="1"/>
  <c r="A5010" i="1"/>
  <c r="A5011" i="1"/>
  <c r="A5012" i="1"/>
  <c r="A5013" i="1"/>
  <c r="B5013" i="1"/>
  <c r="A5014" i="1"/>
  <c r="B5014" i="1"/>
  <c r="A5015" i="1"/>
  <c r="B5015" i="1"/>
  <c r="A5016" i="1"/>
  <c r="B5016" i="1"/>
  <c r="A5017" i="1"/>
  <c r="B5017" i="1"/>
  <c r="A5018" i="1"/>
  <c r="B5018" i="1"/>
  <c r="A5019" i="1"/>
  <c r="B5019" i="1"/>
  <c r="A5020" i="1"/>
  <c r="B5020" i="1"/>
  <c r="A5021" i="1"/>
  <c r="B5021" i="1"/>
  <c r="A5022" i="1"/>
  <c r="B5022" i="1"/>
  <c r="A5023" i="1"/>
  <c r="B5023" i="1"/>
  <c r="A5024" i="1"/>
  <c r="B5024" i="1"/>
  <c r="A5025" i="1"/>
  <c r="B5025" i="1"/>
  <c r="A5026" i="1"/>
  <c r="B5026" i="1"/>
  <c r="A5027" i="1"/>
  <c r="B5027" i="1"/>
  <c r="A5028" i="1"/>
  <c r="B5028" i="1"/>
  <c r="A5029" i="1"/>
  <c r="A5030" i="1"/>
  <c r="B5030" i="1"/>
  <c r="A5031" i="1"/>
  <c r="B5031" i="1"/>
  <c r="A5032" i="1"/>
  <c r="B5032" i="1"/>
  <c r="A5033" i="1"/>
  <c r="B5033" i="1"/>
  <c r="A5034" i="1"/>
  <c r="B5034" i="1"/>
  <c r="A5035" i="1"/>
  <c r="B5035" i="1"/>
  <c r="A5036" i="1"/>
  <c r="B5036" i="1"/>
  <c r="A5037" i="1"/>
  <c r="A5038" i="1"/>
  <c r="B5038" i="1"/>
  <c r="A5039" i="1"/>
  <c r="B5039" i="1"/>
  <c r="A5040" i="1"/>
  <c r="B5040" i="1"/>
  <c r="A5041" i="1"/>
  <c r="B5041" i="1"/>
  <c r="A5042" i="1"/>
  <c r="B5042" i="1"/>
  <c r="A5043" i="1"/>
  <c r="B5043" i="1"/>
  <c r="A5044" i="1"/>
  <c r="B5044" i="1"/>
  <c r="A5045" i="1"/>
  <c r="B5045" i="1"/>
  <c r="A5046" i="1"/>
  <c r="B5046" i="1"/>
  <c r="A5047" i="1"/>
  <c r="B5047" i="1"/>
  <c r="A5048" i="1"/>
  <c r="A5049" i="1"/>
  <c r="B5049" i="1"/>
  <c r="A5050" i="1"/>
  <c r="B5050" i="1"/>
  <c r="A5051" i="1"/>
  <c r="B5051" i="1"/>
  <c r="A5052" i="1"/>
  <c r="B5052" i="1"/>
  <c r="A5053" i="1"/>
  <c r="B5053" i="1"/>
  <c r="A5054" i="1"/>
  <c r="A5055" i="1"/>
  <c r="B5055" i="1"/>
  <c r="A5056" i="1"/>
  <c r="B5056" i="1"/>
  <c r="A5057" i="1"/>
  <c r="B5057" i="1"/>
  <c r="A5058" i="1"/>
  <c r="B5058" i="1"/>
  <c r="A5059" i="1"/>
  <c r="B5059" i="1"/>
  <c r="A5060" i="1"/>
  <c r="B5060" i="1"/>
  <c r="A5061" i="1"/>
  <c r="B5061" i="1"/>
  <c r="A5062" i="1"/>
  <c r="A5063" i="1"/>
  <c r="B5063" i="1"/>
  <c r="A5064" i="1"/>
  <c r="B5064" i="1"/>
  <c r="A5065" i="1"/>
  <c r="B5065" i="1"/>
  <c r="A5066" i="1"/>
  <c r="B5066" i="1"/>
  <c r="A5067" i="1"/>
  <c r="B5067" i="1"/>
  <c r="A5068" i="1"/>
  <c r="B5068" i="1"/>
  <c r="A5069" i="1"/>
  <c r="B5069" i="1"/>
  <c r="A5070" i="1"/>
  <c r="B5070" i="1"/>
  <c r="A5071" i="1"/>
  <c r="B5071" i="1"/>
  <c r="A5072" i="1"/>
  <c r="B5072" i="1"/>
  <c r="A5073" i="1"/>
  <c r="B5073" i="1"/>
  <c r="A5074" i="1"/>
  <c r="B5074" i="1"/>
  <c r="A5075" i="1"/>
  <c r="A5076" i="1"/>
  <c r="B5076" i="1"/>
  <c r="A5077" i="1"/>
  <c r="A5078" i="1"/>
  <c r="A5079" i="1"/>
  <c r="B5079" i="1"/>
  <c r="A5080" i="1"/>
  <c r="B5080" i="1"/>
  <c r="A5081" i="1"/>
  <c r="B5081" i="1"/>
  <c r="A5082" i="1"/>
  <c r="B5082" i="1"/>
  <c r="A5083" i="1"/>
  <c r="B5083" i="1"/>
  <c r="A5084" i="1"/>
  <c r="B5084" i="1"/>
  <c r="A5085" i="1"/>
  <c r="B5085" i="1"/>
  <c r="A5086" i="1"/>
  <c r="B5086" i="1"/>
  <c r="A5087" i="1"/>
  <c r="B5087" i="1"/>
  <c r="A5088" i="1"/>
  <c r="B5088" i="1"/>
  <c r="A5089" i="1"/>
  <c r="B5089" i="1"/>
  <c r="A5090" i="1"/>
  <c r="B5090" i="1"/>
  <c r="A5091" i="1"/>
  <c r="B5091" i="1"/>
  <c r="A5092" i="1"/>
  <c r="B5092" i="1"/>
  <c r="A5093" i="1"/>
  <c r="B5093" i="1"/>
  <c r="A5094" i="1"/>
  <c r="B5094" i="1"/>
  <c r="A5095" i="1"/>
  <c r="B5095" i="1"/>
  <c r="A5096" i="1"/>
  <c r="B5096" i="1"/>
  <c r="A5097" i="1"/>
  <c r="B5097" i="1"/>
  <c r="A5098" i="1"/>
  <c r="B5098" i="1"/>
  <c r="A5099" i="1"/>
  <c r="B5099" i="1"/>
  <c r="A5100" i="1"/>
  <c r="B5100" i="1"/>
  <c r="A5101" i="1"/>
  <c r="B5101" i="1"/>
  <c r="A5102" i="1"/>
  <c r="B5102" i="1"/>
  <c r="A5103" i="1"/>
  <c r="B5103" i="1"/>
  <c r="A5104" i="1"/>
  <c r="B5104" i="1"/>
  <c r="A5105" i="1"/>
  <c r="A5106" i="1"/>
  <c r="B5106" i="1"/>
  <c r="A5107" i="1"/>
  <c r="B5107" i="1"/>
  <c r="A5108" i="1"/>
  <c r="B5108" i="1"/>
  <c r="A5109" i="1"/>
  <c r="B5109" i="1"/>
  <c r="A5110" i="1"/>
  <c r="B5110" i="1"/>
  <c r="A5111" i="1"/>
  <c r="B5111" i="1"/>
  <c r="A5112" i="1"/>
  <c r="B5112" i="1"/>
  <c r="A5113" i="1"/>
  <c r="B5113" i="1"/>
  <c r="A5114" i="1"/>
  <c r="A5115" i="1"/>
  <c r="B5115" i="1"/>
  <c r="A5116" i="1"/>
  <c r="B5116" i="1"/>
  <c r="A5117" i="1"/>
  <c r="B5117" i="1"/>
  <c r="A5118" i="1"/>
  <c r="B5118" i="1"/>
  <c r="A5119" i="1"/>
  <c r="B5119" i="1"/>
  <c r="A5120" i="1"/>
  <c r="B5120" i="1"/>
  <c r="A5121" i="1"/>
  <c r="B5121" i="1"/>
  <c r="A5122" i="1"/>
  <c r="B5122" i="1"/>
  <c r="A5123" i="1"/>
  <c r="A5124" i="1"/>
  <c r="B5124" i="1"/>
  <c r="A5125" i="1"/>
  <c r="B5125" i="1"/>
  <c r="A5126" i="1"/>
  <c r="B5126" i="1"/>
  <c r="A5127" i="1"/>
  <c r="B5127" i="1"/>
  <c r="A5128" i="1"/>
  <c r="A5129" i="1"/>
  <c r="B5129" i="1"/>
  <c r="A5130" i="1"/>
  <c r="B5130" i="1"/>
  <c r="A5131" i="1"/>
  <c r="B5131" i="1"/>
  <c r="A5132" i="1"/>
  <c r="B5132" i="1"/>
  <c r="A5133" i="1"/>
  <c r="B5133" i="1"/>
  <c r="A5134" i="1"/>
  <c r="B5134" i="1"/>
  <c r="A5135" i="1"/>
  <c r="B5135" i="1"/>
  <c r="A5136" i="1"/>
  <c r="B5136" i="1"/>
  <c r="A5137" i="1"/>
  <c r="A5138" i="1"/>
  <c r="B5138" i="1"/>
  <c r="A5139" i="1"/>
  <c r="B5139" i="1"/>
  <c r="A5140" i="1"/>
  <c r="B5140" i="1"/>
  <c r="A5141" i="1"/>
  <c r="B5141" i="1"/>
  <c r="A5142" i="1"/>
  <c r="B5142" i="1"/>
  <c r="A5143" i="1"/>
  <c r="B5143" i="1"/>
  <c r="A5144" i="1"/>
  <c r="B5144" i="1"/>
  <c r="A5145" i="1"/>
  <c r="A5146" i="1"/>
  <c r="A5147" i="1"/>
  <c r="B5147" i="1"/>
  <c r="A5148" i="1"/>
  <c r="A5149" i="1"/>
  <c r="A5150" i="1"/>
  <c r="B5150" i="1"/>
  <c r="A5151" i="1"/>
  <c r="B5151" i="1"/>
  <c r="A5152" i="1"/>
  <c r="B5152" i="1"/>
  <c r="A5153" i="1"/>
  <c r="A5154" i="1"/>
  <c r="B5154" i="1"/>
  <c r="A5155" i="1"/>
  <c r="B5155" i="1"/>
  <c r="A5156" i="1"/>
  <c r="B5156" i="1"/>
  <c r="A5157" i="1"/>
  <c r="B5157" i="1"/>
  <c r="A5158" i="1"/>
  <c r="A5159" i="1"/>
  <c r="B5159" i="1"/>
  <c r="A5160" i="1"/>
  <c r="B5160" i="1"/>
  <c r="A5161" i="1"/>
  <c r="A5162" i="1"/>
  <c r="A5163" i="1"/>
  <c r="B5163" i="1"/>
  <c r="A5164" i="1"/>
  <c r="B5164" i="1"/>
  <c r="A5165" i="1"/>
  <c r="B5165" i="1"/>
  <c r="A5166" i="1"/>
  <c r="B5166" i="1"/>
  <c r="A5167" i="1"/>
  <c r="B5167" i="1"/>
  <c r="A5168" i="1"/>
  <c r="A5169" i="1"/>
  <c r="B5169" i="1"/>
  <c r="A5170" i="1"/>
  <c r="B5170" i="1"/>
  <c r="A5171" i="1"/>
  <c r="B5171" i="1"/>
  <c r="A5172" i="1"/>
  <c r="A5173" i="1"/>
  <c r="B5173" i="1"/>
  <c r="A5174" i="1"/>
  <c r="B5174" i="1"/>
  <c r="A5175" i="1"/>
  <c r="B5175" i="1"/>
  <c r="A5176" i="1"/>
  <c r="B5176" i="1"/>
  <c r="A5177" i="1"/>
  <c r="B5177" i="1"/>
  <c r="A5178" i="1"/>
  <c r="B5178" i="1"/>
  <c r="A5179" i="1"/>
  <c r="B5179" i="1"/>
  <c r="A5180" i="1"/>
  <c r="B5180" i="1"/>
  <c r="A5181" i="1"/>
  <c r="A5182" i="1"/>
  <c r="B5182" i="1"/>
  <c r="A5183" i="1"/>
  <c r="B5183" i="1"/>
  <c r="A5184" i="1"/>
  <c r="B5184" i="1"/>
  <c r="A5185" i="1"/>
  <c r="B5185" i="1"/>
  <c r="A5186" i="1"/>
  <c r="B5186" i="1"/>
  <c r="A5187" i="1"/>
  <c r="B5187" i="1"/>
  <c r="A5188" i="1"/>
  <c r="B5188" i="1"/>
  <c r="A5189" i="1"/>
  <c r="B5189" i="1"/>
  <c r="A5190" i="1"/>
  <c r="B5190" i="1"/>
  <c r="A5191" i="1"/>
  <c r="B5191" i="1"/>
  <c r="A5192" i="1"/>
  <c r="B5192" i="1"/>
  <c r="A5193" i="1"/>
  <c r="A5194" i="1"/>
  <c r="B5194" i="1"/>
  <c r="A5195" i="1"/>
  <c r="A5196" i="1"/>
  <c r="B5196" i="1"/>
  <c r="A5197" i="1"/>
  <c r="B5197" i="1"/>
  <c r="A5198" i="1"/>
  <c r="B5198" i="1"/>
  <c r="A5199" i="1"/>
  <c r="A5200" i="1"/>
  <c r="B5200" i="1"/>
  <c r="A5201" i="1"/>
  <c r="B5201" i="1"/>
  <c r="A5202" i="1"/>
  <c r="B5202" i="1"/>
  <c r="A5203" i="1"/>
  <c r="B5203" i="1"/>
  <c r="A5204" i="1"/>
  <c r="B5204" i="1"/>
  <c r="A5205" i="1"/>
  <c r="B5205" i="1"/>
  <c r="A5206" i="1"/>
  <c r="B5206" i="1"/>
  <c r="A5207" i="1"/>
  <c r="B5207" i="1"/>
  <c r="A5208" i="1"/>
  <c r="B5208" i="1"/>
  <c r="A5209" i="1"/>
  <c r="B5209" i="1"/>
  <c r="A5210" i="1"/>
  <c r="B5210" i="1"/>
  <c r="A5211" i="1"/>
  <c r="B5211" i="1"/>
  <c r="A5212" i="1"/>
  <c r="A5213" i="1"/>
  <c r="B5213" i="1"/>
  <c r="A5214" i="1"/>
  <c r="B5214" i="1"/>
  <c r="A5215" i="1"/>
  <c r="B5215" i="1"/>
  <c r="A5216" i="1"/>
  <c r="B5216" i="1"/>
  <c r="A5217" i="1"/>
  <c r="B5217" i="1"/>
  <c r="A5218" i="1"/>
  <c r="B5218" i="1"/>
  <c r="A5219" i="1"/>
  <c r="B5219" i="1"/>
  <c r="A5220" i="1"/>
  <c r="B5220" i="1"/>
  <c r="A5221" i="1"/>
  <c r="A5222" i="1"/>
  <c r="B5222" i="1"/>
  <c r="A5223" i="1"/>
  <c r="B5223" i="1"/>
  <c r="A5224" i="1"/>
  <c r="B5224" i="1"/>
  <c r="A5225" i="1"/>
  <c r="A5226" i="1"/>
  <c r="B5226" i="1"/>
  <c r="A5227" i="1"/>
  <c r="B5227" i="1"/>
  <c r="A5228" i="1"/>
  <c r="B5228" i="1"/>
  <c r="A5229" i="1"/>
  <c r="B5229" i="1"/>
  <c r="A5230" i="1"/>
  <c r="B5230" i="1"/>
  <c r="A5231" i="1"/>
  <c r="B5231" i="1"/>
  <c r="A5232" i="1"/>
  <c r="B5232" i="1"/>
  <c r="A5233" i="1"/>
  <c r="B5233" i="1"/>
  <c r="A5234" i="1"/>
  <c r="B5234" i="1"/>
  <c r="A5235" i="1"/>
  <c r="A5236" i="1"/>
  <c r="B5236" i="1"/>
  <c r="A5237" i="1"/>
  <c r="B5237" i="1"/>
  <c r="A5238" i="1"/>
  <c r="B5238" i="1"/>
  <c r="A5239" i="1"/>
  <c r="B5239" i="1"/>
  <c r="A5240" i="1"/>
  <c r="B5240" i="1"/>
  <c r="A5241" i="1"/>
  <c r="B5241" i="1"/>
  <c r="A5242" i="1"/>
  <c r="B5242" i="1"/>
  <c r="A5243" i="1"/>
  <c r="B5243" i="1"/>
  <c r="A5244" i="1"/>
  <c r="B5244" i="1"/>
  <c r="A5245" i="1"/>
  <c r="B5245" i="1"/>
  <c r="A5246" i="1"/>
  <c r="B5246" i="1"/>
  <c r="A5247" i="1"/>
  <c r="B5247" i="1"/>
  <c r="A5248" i="1"/>
  <c r="B5248" i="1"/>
  <c r="A5249" i="1"/>
  <c r="B5249" i="1"/>
  <c r="A5250" i="1"/>
  <c r="B5250" i="1"/>
  <c r="A5251" i="1"/>
  <c r="B5251" i="1"/>
  <c r="A5252" i="1"/>
  <c r="B5252" i="1"/>
  <c r="A5253" i="1"/>
  <c r="B5253" i="1"/>
  <c r="A5254" i="1"/>
  <c r="B5254" i="1"/>
  <c r="A5255" i="1"/>
  <c r="B5255" i="1"/>
  <c r="A5256" i="1"/>
  <c r="B5256" i="1"/>
  <c r="A5257" i="1"/>
  <c r="B5257" i="1"/>
  <c r="A5258" i="1"/>
  <c r="B5258" i="1"/>
  <c r="A5259" i="1"/>
  <c r="B5259" i="1"/>
  <c r="A5260" i="1"/>
  <c r="B5260" i="1"/>
  <c r="A5261" i="1"/>
  <c r="B5261" i="1"/>
  <c r="A5262" i="1"/>
  <c r="B5262" i="1"/>
  <c r="A5263" i="1"/>
  <c r="B5263" i="1"/>
  <c r="A5264" i="1"/>
  <c r="B5264" i="1"/>
  <c r="A5265" i="1"/>
  <c r="B5265" i="1"/>
  <c r="A5266" i="1"/>
  <c r="B5266" i="1"/>
  <c r="A5267" i="1"/>
  <c r="B5267" i="1"/>
  <c r="A5268" i="1"/>
  <c r="B5268" i="1"/>
  <c r="A5269" i="1"/>
  <c r="A5270" i="1"/>
  <c r="B5270" i="1"/>
  <c r="A5271" i="1"/>
  <c r="B5271" i="1"/>
  <c r="A5272" i="1"/>
  <c r="B5272" i="1"/>
  <c r="A5273" i="1"/>
  <c r="B5273" i="1"/>
  <c r="A5274" i="1"/>
  <c r="B5274" i="1"/>
  <c r="A5275" i="1"/>
  <c r="A5276" i="1"/>
  <c r="A5277" i="1"/>
  <c r="A5278" i="1"/>
  <c r="A5279" i="1"/>
  <c r="A5280" i="1"/>
  <c r="A5281" i="1"/>
  <c r="A5282" i="1"/>
  <c r="A5283" i="1"/>
  <c r="A5284" i="1"/>
  <c r="B5284" i="1"/>
  <c r="A5285" i="1"/>
  <c r="A5286" i="1"/>
  <c r="A5287" i="1"/>
  <c r="A5288" i="1"/>
  <c r="A5289" i="1"/>
  <c r="A5290" i="1"/>
  <c r="B5290" i="1"/>
  <c r="A5291" i="1"/>
  <c r="B5291" i="1"/>
  <c r="A5292" i="1"/>
  <c r="B5292" i="1"/>
  <c r="A5293" i="1"/>
  <c r="A5294" i="1"/>
  <c r="A5295" i="1"/>
  <c r="B5295" i="1"/>
  <c r="A5296" i="1"/>
  <c r="B5296" i="1"/>
  <c r="A5297" i="1"/>
  <c r="A5298" i="1"/>
  <c r="B5298" i="1"/>
  <c r="A5299" i="1"/>
  <c r="B5299" i="1"/>
  <c r="A5300" i="1"/>
  <c r="B5300" i="1"/>
  <c r="A5301" i="1"/>
  <c r="B5301" i="1"/>
  <c r="A5302" i="1"/>
  <c r="A5303" i="1"/>
  <c r="B5303" i="1"/>
  <c r="A5304" i="1"/>
  <c r="B5304" i="1"/>
  <c r="A5305" i="1"/>
  <c r="B5305" i="1"/>
  <c r="A5306" i="1"/>
  <c r="A5307" i="1"/>
  <c r="B5307" i="1"/>
  <c r="A5308" i="1"/>
  <c r="B5308" i="1"/>
  <c r="A5309" i="1"/>
  <c r="B5309" i="1"/>
  <c r="A5310" i="1"/>
  <c r="B5310" i="1"/>
  <c r="A5311" i="1"/>
  <c r="B5311" i="1"/>
  <c r="A5312" i="1"/>
  <c r="B5312" i="1"/>
  <c r="A5313" i="1"/>
  <c r="B5313" i="1"/>
  <c r="A5314" i="1"/>
  <c r="B5314" i="1"/>
  <c r="A5315" i="1"/>
  <c r="B5315" i="1"/>
  <c r="A5316" i="1"/>
  <c r="B5316" i="1"/>
  <c r="A5317" i="1"/>
  <c r="B5317" i="1"/>
  <c r="A5318" i="1"/>
  <c r="B5318" i="1"/>
  <c r="A5319" i="1"/>
  <c r="B5319" i="1"/>
  <c r="A5320" i="1"/>
  <c r="B5320" i="1"/>
  <c r="A5321" i="1"/>
  <c r="B5321" i="1"/>
  <c r="A5322" i="1"/>
  <c r="B5322" i="1"/>
  <c r="A5323" i="1"/>
  <c r="B5323" i="1"/>
  <c r="A5324" i="1"/>
  <c r="B5324" i="1"/>
  <c r="A5325" i="1"/>
  <c r="B5325" i="1"/>
  <c r="A5326" i="1"/>
  <c r="B5326" i="1"/>
  <c r="A5327" i="1"/>
  <c r="B5327" i="1"/>
  <c r="A5328" i="1"/>
  <c r="B5328" i="1"/>
  <c r="A5329" i="1"/>
  <c r="B5329" i="1"/>
  <c r="A5330" i="1"/>
  <c r="B5330" i="1"/>
  <c r="A5331" i="1"/>
  <c r="B5331" i="1"/>
  <c r="A5332" i="1"/>
  <c r="B5332" i="1"/>
  <c r="A5333" i="1"/>
  <c r="B5333" i="1"/>
  <c r="A5334" i="1"/>
  <c r="B5334" i="1"/>
  <c r="A5335" i="1"/>
  <c r="B5335" i="1"/>
  <c r="A5336" i="1"/>
  <c r="B5336" i="1"/>
  <c r="A5337" i="1"/>
  <c r="B5337" i="1"/>
  <c r="A5338" i="1"/>
  <c r="B5338" i="1"/>
  <c r="A5339" i="1"/>
  <c r="A5340" i="1"/>
  <c r="B5340" i="1"/>
  <c r="A5341" i="1"/>
  <c r="B5341" i="1"/>
  <c r="A5342" i="1"/>
  <c r="B5342" i="1"/>
  <c r="A5343" i="1"/>
  <c r="B5343" i="1"/>
  <c r="A5344" i="1"/>
  <c r="B5344" i="1"/>
  <c r="A5345" i="1"/>
  <c r="B5345" i="1"/>
  <c r="A5346" i="1"/>
  <c r="B5346" i="1"/>
  <c r="A5347" i="1"/>
  <c r="A5348" i="1"/>
  <c r="B5348" i="1"/>
  <c r="A5349" i="1"/>
  <c r="B5349" i="1"/>
  <c r="A5350" i="1"/>
  <c r="B5350" i="1"/>
  <c r="A5351" i="1"/>
  <c r="A5352" i="1"/>
  <c r="B5352" i="1"/>
  <c r="A5353" i="1"/>
  <c r="B5353" i="1"/>
  <c r="A5354" i="1"/>
  <c r="B5354" i="1"/>
  <c r="A5355" i="1"/>
  <c r="B5355" i="1"/>
  <c r="A5356" i="1"/>
  <c r="B5356" i="1"/>
  <c r="A5357" i="1"/>
  <c r="B5357" i="1"/>
  <c r="A5358" i="1"/>
  <c r="B5358" i="1"/>
  <c r="A5359" i="1"/>
  <c r="B5359" i="1"/>
  <c r="A5360" i="1"/>
  <c r="A5361" i="1"/>
  <c r="B5361" i="1"/>
  <c r="A5362" i="1"/>
  <c r="B5362" i="1"/>
  <c r="A5363" i="1"/>
  <c r="B5363" i="1"/>
  <c r="A5364" i="1"/>
  <c r="B5364" i="1"/>
  <c r="A5365" i="1"/>
  <c r="B5365" i="1"/>
  <c r="A5366" i="1"/>
  <c r="B5366" i="1"/>
  <c r="A5367" i="1"/>
  <c r="B5367" i="1"/>
  <c r="A5368" i="1"/>
  <c r="B5368" i="1"/>
  <c r="A5369" i="1"/>
  <c r="B5369" i="1"/>
  <c r="A5370" i="1"/>
  <c r="A5371" i="1"/>
  <c r="B5371" i="1"/>
  <c r="A5372" i="1"/>
  <c r="B5372" i="1"/>
  <c r="A5373" i="1"/>
  <c r="B5373" i="1"/>
  <c r="A5374" i="1"/>
  <c r="B5374" i="1"/>
  <c r="A5375" i="1"/>
  <c r="B5375" i="1"/>
  <c r="A5376" i="1"/>
  <c r="B5376" i="1"/>
  <c r="A5377" i="1"/>
  <c r="B5377" i="1"/>
  <c r="A5378" i="1"/>
  <c r="B5378" i="1"/>
  <c r="A5379" i="1"/>
  <c r="B5379" i="1"/>
  <c r="A5380" i="1"/>
  <c r="B5380" i="1"/>
  <c r="A5381" i="1"/>
  <c r="B5381" i="1"/>
  <c r="A5382" i="1"/>
  <c r="B5382" i="1"/>
  <c r="A5383" i="1"/>
  <c r="B5383" i="1"/>
  <c r="A5384" i="1"/>
  <c r="B5384" i="1"/>
  <c r="A5385" i="1"/>
  <c r="B5385" i="1"/>
  <c r="A5386" i="1"/>
  <c r="A5387" i="1"/>
  <c r="B5387" i="1"/>
  <c r="A5388" i="1"/>
  <c r="B5388" i="1"/>
  <c r="A5389" i="1"/>
  <c r="A5390" i="1"/>
  <c r="A5391" i="1"/>
  <c r="B5391" i="1"/>
  <c r="A5392" i="1"/>
  <c r="B5392" i="1"/>
  <c r="A5393" i="1"/>
  <c r="B5393" i="1"/>
  <c r="A5394" i="1"/>
  <c r="B5394" i="1"/>
  <c r="A5395" i="1"/>
  <c r="A5396" i="1"/>
  <c r="B5396" i="1"/>
  <c r="A5397" i="1"/>
  <c r="B5397" i="1"/>
  <c r="A5398" i="1"/>
  <c r="B5398" i="1"/>
  <c r="A5399" i="1"/>
  <c r="B5399" i="1"/>
  <c r="A5400" i="1"/>
  <c r="B5400" i="1"/>
  <c r="A5401" i="1"/>
  <c r="B5401" i="1"/>
  <c r="A5402" i="1"/>
  <c r="B5402" i="1"/>
  <c r="A5403" i="1"/>
  <c r="B5403" i="1"/>
  <c r="A5404" i="1"/>
  <c r="B5404" i="1"/>
  <c r="A5405" i="1"/>
  <c r="B5405" i="1"/>
  <c r="A5406" i="1"/>
  <c r="A5407" i="1"/>
  <c r="B5407" i="1"/>
  <c r="A5408" i="1"/>
  <c r="B5408" i="1"/>
  <c r="A5409" i="1"/>
  <c r="B5409" i="1"/>
  <c r="A5410" i="1"/>
  <c r="B5410" i="1"/>
  <c r="A5411" i="1"/>
  <c r="B5411" i="1"/>
  <c r="A5412" i="1"/>
  <c r="B5412" i="1"/>
  <c r="A5413" i="1"/>
  <c r="B5413" i="1"/>
  <c r="A5414" i="1"/>
  <c r="B5414" i="1"/>
  <c r="A5415" i="1"/>
  <c r="A5416" i="1"/>
  <c r="B5416" i="1"/>
  <c r="A5417" i="1"/>
  <c r="B5417" i="1"/>
  <c r="A5418" i="1"/>
  <c r="B5418" i="1"/>
  <c r="A5419" i="1"/>
  <c r="B5419" i="1"/>
  <c r="A5420" i="1"/>
  <c r="B5420" i="1"/>
  <c r="A5421" i="1"/>
  <c r="B5421" i="1"/>
  <c r="A5422" i="1"/>
  <c r="B5422" i="1"/>
  <c r="A5423" i="1"/>
  <c r="A5424" i="1"/>
  <c r="B5424" i="1"/>
  <c r="A5425" i="1"/>
  <c r="B5425" i="1"/>
  <c r="A5426" i="1"/>
  <c r="B5426" i="1"/>
  <c r="A5427" i="1"/>
  <c r="B5427" i="1"/>
  <c r="A5428" i="1"/>
  <c r="B5428" i="1"/>
  <c r="A5429" i="1"/>
  <c r="B5429" i="1"/>
  <c r="A5430" i="1"/>
  <c r="B5430" i="1"/>
  <c r="A5431" i="1"/>
  <c r="B5431" i="1"/>
  <c r="A5432" i="1"/>
  <c r="B5432" i="1"/>
  <c r="A5433" i="1"/>
  <c r="B5433" i="1"/>
  <c r="A5434" i="1"/>
  <c r="B5434" i="1"/>
  <c r="A5435" i="1"/>
  <c r="A5436" i="1"/>
  <c r="B5436" i="1"/>
  <c r="A5437" i="1"/>
  <c r="B5437" i="1"/>
  <c r="A5438" i="1"/>
  <c r="B5438" i="1"/>
  <c r="A5439" i="1"/>
  <c r="B5439" i="1"/>
  <c r="A5440" i="1"/>
  <c r="B5440" i="1"/>
  <c r="A5441" i="1"/>
  <c r="B5441" i="1"/>
  <c r="A5442" i="1"/>
  <c r="B5442" i="1"/>
  <c r="A5443" i="1"/>
  <c r="B5443" i="1"/>
  <c r="A5444" i="1"/>
  <c r="B5444" i="1"/>
  <c r="A5445" i="1"/>
  <c r="B5445" i="1"/>
  <c r="A5446" i="1"/>
  <c r="B5446" i="1"/>
  <c r="A5447" i="1"/>
  <c r="B5447" i="1"/>
  <c r="A5448" i="1"/>
  <c r="B5448" i="1"/>
  <c r="A5449" i="1"/>
  <c r="B5449" i="1"/>
  <c r="A5450" i="1"/>
  <c r="B5450" i="1"/>
  <c r="A5451" i="1"/>
  <c r="B5451" i="1"/>
  <c r="A5452" i="1"/>
  <c r="B5452" i="1"/>
  <c r="A5453" i="1"/>
  <c r="B5453" i="1"/>
  <c r="A5454" i="1"/>
  <c r="B5454" i="1"/>
  <c r="A5455" i="1"/>
  <c r="B5455" i="1"/>
  <c r="A5456" i="1"/>
  <c r="B5456" i="1"/>
  <c r="A5457" i="1"/>
  <c r="B5457" i="1"/>
  <c r="A5458" i="1"/>
  <c r="B5458" i="1"/>
  <c r="A5459" i="1"/>
  <c r="B5459" i="1"/>
  <c r="A5460" i="1"/>
  <c r="B5460" i="1"/>
  <c r="A5461" i="1"/>
  <c r="B5461" i="1"/>
  <c r="A5462" i="1"/>
  <c r="B5462" i="1"/>
  <c r="A5463" i="1"/>
  <c r="B5463" i="1"/>
  <c r="A5464" i="1"/>
  <c r="A5465" i="1"/>
  <c r="B5465" i="1"/>
  <c r="A5466" i="1"/>
  <c r="B5466" i="1"/>
  <c r="A5467" i="1"/>
  <c r="B5467" i="1"/>
  <c r="A5468" i="1"/>
  <c r="B5468" i="1"/>
  <c r="A5469" i="1"/>
  <c r="B5469" i="1"/>
  <c r="A5470" i="1"/>
  <c r="B5470" i="1"/>
  <c r="A5471" i="1"/>
  <c r="B5471" i="1"/>
  <c r="A5472" i="1"/>
  <c r="B5472" i="1"/>
  <c r="A5473" i="1"/>
  <c r="B5473" i="1"/>
  <c r="A5474" i="1"/>
  <c r="B5474" i="1"/>
  <c r="A5475" i="1"/>
  <c r="B5475" i="1"/>
  <c r="A5476" i="1"/>
  <c r="A5477" i="1"/>
  <c r="B5477" i="1"/>
  <c r="A5478" i="1"/>
  <c r="B5478" i="1"/>
  <c r="A5479" i="1"/>
  <c r="B5479" i="1"/>
  <c r="A5480" i="1"/>
  <c r="B5480" i="1"/>
  <c r="A5481" i="1"/>
  <c r="B5481" i="1"/>
  <c r="A5482" i="1"/>
  <c r="B5482" i="1"/>
  <c r="A5483" i="1"/>
  <c r="B5483" i="1"/>
  <c r="A5484" i="1"/>
  <c r="B5484" i="1"/>
  <c r="A5485" i="1"/>
  <c r="B5485" i="1"/>
  <c r="A5486" i="1"/>
  <c r="B5486" i="1"/>
  <c r="A5487" i="1"/>
  <c r="B5487" i="1"/>
  <c r="A5488" i="1"/>
  <c r="B5488" i="1"/>
  <c r="A5489" i="1"/>
  <c r="B5489" i="1"/>
  <c r="A5490" i="1"/>
  <c r="B5490" i="1"/>
  <c r="A5491" i="1"/>
  <c r="B5491" i="1"/>
  <c r="A5492" i="1"/>
  <c r="B5492" i="1"/>
  <c r="A5493" i="1"/>
  <c r="B5493" i="1"/>
  <c r="A5494" i="1"/>
  <c r="B5494" i="1"/>
  <c r="A5495" i="1"/>
  <c r="B5495" i="1"/>
  <c r="A5496" i="1"/>
  <c r="B5496" i="1"/>
  <c r="A5497" i="1"/>
  <c r="B5497" i="1"/>
  <c r="A5498" i="1"/>
  <c r="B5498" i="1"/>
  <c r="A5499" i="1"/>
  <c r="B5499" i="1"/>
  <c r="A5500" i="1"/>
  <c r="B5500" i="1"/>
  <c r="A5501" i="1"/>
  <c r="B5501" i="1"/>
  <c r="A5502" i="1"/>
  <c r="B5502" i="1"/>
  <c r="A5503" i="1"/>
  <c r="B5503" i="1"/>
  <c r="A5504" i="1"/>
  <c r="B5504" i="1"/>
  <c r="A5505" i="1"/>
  <c r="B5505" i="1"/>
  <c r="A5506" i="1"/>
  <c r="B5506" i="1"/>
  <c r="A5507" i="1"/>
  <c r="B5507" i="1"/>
  <c r="A5508" i="1"/>
  <c r="B5508" i="1"/>
  <c r="A5509" i="1"/>
  <c r="B5509" i="1"/>
  <c r="A5510" i="1"/>
  <c r="B5510" i="1"/>
  <c r="A5511" i="1"/>
  <c r="B5511" i="1"/>
  <c r="A5512" i="1"/>
  <c r="B5512" i="1"/>
  <c r="A5513" i="1"/>
  <c r="B5513" i="1"/>
  <c r="A5514" i="1"/>
  <c r="B5514" i="1"/>
  <c r="A5515" i="1"/>
  <c r="B5515" i="1"/>
  <c r="A5516" i="1"/>
  <c r="B5516" i="1"/>
  <c r="A5517" i="1"/>
  <c r="B5517" i="1"/>
  <c r="A5518" i="1"/>
  <c r="B5518" i="1"/>
  <c r="A5519" i="1"/>
  <c r="A5520" i="1"/>
  <c r="A5521" i="1"/>
  <c r="A5522" i="1"/>
  <c r="B5522" i="1"/>
  <c r="A5523" i="1"/>
  <c r="A5524" i="1"/>
  <c r="B5524" i="1"/>
  <c r="A5525" i="1"/>
  <c r="A5526" i="1"/>
  <c r="A5527" i="1"/>
  <c r="B5527" i="1"/>
  <c r="A5528" i="1"/>
  <c r="A5529" i="1"/>
  <c r="A5530" i="1"/>
  <c r="B5530" i="1"/>
  <c r="A5531" i="1"/>
  <c r="B5531" i="1"/>
  <c r="A5532" i="1"/>
  <c r="A5533" i="1"/>
  <c r="A5534" i="1"/>
  <c r="A5535" i="1"/>
  <c r="A5536" i="1"/>
  <c r="B5536" i="1"/>
  <c r="A5537" i="1"/>
  <c r="B5537" i="1"/>
  <c r="A5538" i="1"/>
  <c r="B5538" i="1"/>
  <c r="A5539" i="1"/>
  <c r="B5539" i="1"/>
  <c r="A5540" i="1"/>
  <c r="B5540" i="1"/>
  <c r="A5541" i="1"/>
  <c r="B5541" i="1"/>
  <c r="A5542" i="1"/>
  <c r="B5542" i="1"/>
  <c r="A5543" i="1"/>
  <c r="B5543" i="1"/>
  <c r="A5544" i="1"/>
  <c r="B5544" i="1"/>
  <c r="A5545" i="1"/>
  <c r="A5546" i="1"/>
  <c r="B5546" i="1"/>
  <c r="A5547" i="1"/>
  <c r="B5547" i="1"/>
  <c r="A5548" i="1"/>
  <c r="B5548" i="1"/>
  <c r="A5549" i="1"/>
  <c r="B5549" i="1"/>
  <c r="A5550" i="1"/>
  <c r="B5550" i="1"/>
  <c r="A5551" i="1"/>
  <c r="B5551" i="1"/>
  <c r="A5552" i="1"/>
  <c r="B5552" i="1"/>
  <c r="A5553" i="1"/>
  <c r="B5553" i="1"/>
  <c r="A5554" i="1"/>
  <c r="B5554" i="1"/>
  <c r="A5555" i="1"/>
  <c r="B5555" i="1"/>
  <c r="A5556" i="1"/>
  <c r="B5556" i="1"/>
  <c r="A5557" i="1"/>
  <c r="B5557" i="1"/>
  <c r="A5558" i="1"/>
  <c r="B5558" i="1"/>
  <c r="A5559" i="1"/>
  <c r="A5560" i="1"/>
  <c r="A5561" i="1"/>
  <c r="B5561" i="1"/>
  <c r="A5562" i="1"/>
  <c r="A5563" i="1"/>
  <c r="B5563" i="1"/>
  <c r="A5564" i="1"/>
  <c r="B5564" i="1"/>
  <c r="A5565" i="1"/>
  <c r="B5565" i="1"/>
  <c r="A5566" i="1"/>
  <c r="B5566" i="1"/>
  <c r="A5567" i="1"/>
  <c r="B5567" i="1"/>
  <c r="A5568" i="1"/>
  <c r="B5568" i="1"/>
  <c r="A5569" i="1"/>
  <c r="B5569" i="1"/>
  <c r="A5570" i="1"/>
  <c r="B5570" i="1"/>
  <c r="A5571" i="1"/>
  <c r="B5571" i="1"/>
  <c r="A5572" i="1"/>
  <c r="B5572" i="1"/>
  <c r="A5573" i="1"/>
  <c r="B5573" i="1"/>
  <c r="A5574" i="1"/>
  <c r="B5574" i="1"/>
  <c r="A5575" i="1"/>
  <c r="A5576" i="1"/>
  <c r="B5576" i="1"/>
  <c r="A5577" i="1"/>
  <c r="B5577" i="1"/>
  <c r="A5578" i="1"/>
  <c r="B5578" i="1"/>
  <c r="A5579" i="1"/>
  <c r="B5579" i="1"/>
  <c r="A5580" i="1"/>
  <c r="B5580" i="1"/>
  <c r="A5581" i="1"/>
  <c r="B5581" i="1"/>
  <c r="A5582" i="1"/>
  <c r="B5582" i="1"/>
  <c r="A5583" i="1"/>
  <c r="B5583" i="1"/>
  <c r="A5584" i="1"/>
  <c r="B5584" i="1"/>
  <c r="A5585" i="1"/>
  <c r="B5585" i="1"/>
  <c r="A5586" i="1"/>
  <c r="B5586" i="1"/>
  <c r="A5587" i="1"/>
  <c r="B5587" i="1"/>
  <c r="A5588" i="1"/>
  <c r="B5588" i="1"/>
  <c r="A5589" i="1"/>
  <c r="B5589" i="1"/>
  <c r="A5590" i="1"/>
  <c r="B5590" i="1"/>
  <c r="A5591" i="1"/>
  <c r="B5591" i="1"/>
  <c r="A5592" i="1"/>
  <c r="B5592" i="1"/>
  <c r="A5593" i="1"/>
  <c r="B5593" i="1"/>
  <c r="A5594" i="1"/>
  <c r="B5594" i="1"/>
  <c r="A5595" i="1"/>
  <c r="B5595" i="1"/>
  <c r="A5596" i="1"/>
  <c r="B5596" i="1"/>
  <c r="A5597" i="1"/>
  <c r="B5597" i="1"/>
  <c r="A5598" i="1"/>
  <c r="B5598" i="1"/>
  <c r="A5599" i="1"/>
  <c r="A5600" i="1"/>
  <c r="A5601" i="1"/>
  <c r="A5602" i="1"/>
  <c r="A5603" i="1"/>
  <c r="A5604" i="1"/>
  <c r="A5605" i="1"/>
  <c r="A5606" i="1"/>
  <c r="B5606" i="1"/>
  <c r="A5607" i="1"/>
  <c r="B5607" i="1"/>
  <c r="A5608" i="1"/>
  <c r="B5608" i="1"/>
  <c r="A5609" i="1"/>
  <c r="A5610" i="1"/>
  <c r="B5610" i="1"/>
  <c r="A5611" i="1"/>
  <c r="B5611" i="1"/>
  <c r="A5612" i="1"/>
  <c r="A5613" i="1"/>
  <c r="B5613" i="1"/>
  <c r="A5614" i="1"/>
  <c r="B5614" i="1"/>
  <c r="A5615" i="1"/>
  <c r="A5616" i="1"/>
  <c r="B5616" i="1"/>
  <c r="A5617" i="1"/>
  <c r="A5618" i="1"/>
  <c r="B5618" i="1"/>
  <c r="A5619" i="1"/>
  <c r="A5620" i="1"/>
  <c r="B5620" i="1"/>
  <c r="A5621" i="1"/>
  <c r="B5621" i="1"/>
  <c r="A5622" i="1"/>
  <c r="B5622" i="1"/>
  <c r="A5623" i="1"/>
  <c r="B5623" i="1"/>
  <c r="A5624" i="1"/>
  <c r="B5624" i="1"/>
  <c r="A5625" i="1"/>
  <c r="B5625" i="1"/>
  <c r="A5626" i="1"/>
  <c r="B5626" i="1"/>
  <c r="A5627" i="1"/>
  <c r="B5627" i="1"/>
  <c r="A5628" i="1"/>
  <c r="B5628" i="1"/>
  <c r="A5629" i="1"/>
  <c r="A5630" i="1"/>
  <c r="A5631" i="1"/>
  <c r="B5631" i="1"/>
  <c r="A5632" i="1"/>
  <c r="B5632" i="1"/>
  <c r="A5633" i="1"/>
  <c r="B5633" i="1"/>
  <c r="A5634" i="1"/>
  <c r="B5634" i="1"/>
  <c r="A5635" i="1"/>
  <c r="B5635" i="1"/>
  <c r="A5636" i="1"/>
  <c r="B5636" i="1"/>
  <c r="A5637" i="1"/>
  <c r="B5637" i="1"/>
  <c r="A5638" i="1"/>
  <c r="A5639" i="1"/>
  <c r="B5639" i="1"/>
  <c r="A5640" i="1"/>
  <c r="A5641" i="1"/>
  <c r="A5642" i="1"/>
  <c r="B5642" i="1"/>
  <c r="A5643" i="1"/>
  <c r="B5643" i="1"/>
  <c r="A5644" i="1"/>
  <c r="B5644" i="1"/>
  <c r="A5645" i="1"/>
  <c r="B5645" i="1"/>
  <c r="A5646" i="1"/>
  <c r="B5646" i="1"/>
  <c r="A5647" i="1"/>
  <c r="B5647" i="1"/>
  <c r="A5648" i="1"/>
  <c r="B5648" i="1"/>
  <c r="A5649" i="1"/>
  <c r="B5649" i="1"/>
  <c r="A5650" i="1"/>
  <c r="B5650" i="1"/>
  <c r="A5651" i="1"/>
  <c r="B5651" i="1"/>
  <c r="A5652" i="1"/>
  <c r="B5652" i="1"/>
  <c r="A5653" i="1"/>
  <c r="B5653" i="1"/>
  <c r="A5654" i="1"/>
  <c r="B5654" i="1"/>
  <c r="A5655" i="1"/>
  <c r="B5655" i="1"/>
  <c r="A5656" i="1"/>
  <c r="B5656" i="1"/>
  <c r="A5657" i="1"/>
  <c r="B5657" i="1"/>
  <c r="A5658" i="1"/>
  <c r="B5658" i="1"/>
  <c r="A5659" i="1"/>
  <c r="B5659" i="1"/>
  <c r="A5660" i="1"/>
  <c r="A5661" i="1"/>
  <c r="B5661" i="1"/>
  <c r="A5662" i="1"/>
  <c r="B5662" i="1"/>
  <c r="A5663" i="1"/>
  <c r="B5663" i="1"/>
  <c r="A5664" i="1"/>
  <c r="B5664" i="1"/>
  <c r="A5665" i="1"/>
  <c r="A5666" i="1"/>
  <c r="A5667" i="1"/>
  <c r="B5667" i="1"/>
  <c r="A5668" i="1"/>
  <c r="A5669" i="1"/>
  <c r="A5670" i="1"/>
  <c r="B5670" i="1"/>
  <c r="A5671" i="1"/>
  <c r="B5671" i="1"/>
  <c r="A5672" i="1"/>
  <c r="B5672" i="1"/>
  <c r="A5673" i="1"/>
  <c r="B5673" i="1"/>
  <c r="A5674" i="1"/>
  <c r="A5675" i="1"/>
  <c r="A5676" i="1"/>
  <c r="A5677" i="1"/>
  <c r="A5678" i="1"/>
  <c r="B5678" i="1"/>
  <c r="A5679" i="1"/>
  <c r="B5679" i="1"/>
  <c r="A5680" i="1"/>
  <c r="A5681" i="1"/>
  <c r="B5681" i="1"/>
  <c r="A5682" i="1"/>
  <c r="A5683" i="1"/>
  <c r="A5684" i="1"/>
  <c r="B5684" i="1"/>
  <c r="A5685" i="1"/>
  <c r="B5685" i="1"/>
  <c r="A5686" i="1"/>
  <c r="B5686" i="1"/>
  <c r="A5687" i="1"/>
  <c r="B5687" i="1"/>
  <c r="A5688" i="1"/>
  <c r="A5689" i="1"/>
  <c r="A5690" i="1"/>
  <c r="A5691" i="1"/>
  <c r="A5692" i="1"/>
  <c r="A5693" i="1"/>
  <c r="B5693" i="1"/>
  <c r="A5694" i="1"/>
  <c r="B5694" i="1"/>
  <c r="A5695" i="1"/>
  <c r="B5695" i="1"/>
  <c r="A5696" i="1"/>
  <c r="A5697" i="1"/>
  <c r="B5697" i="1"/>
  <c r="A5698" i="1"/>
  <c r="B5698" i="1"/>
  <c r="A5699" i="1"/>
  <c r="B5699" i="1"/>
  <c r="A5700" i="1"/>
  <c r="B5700" i="1"/>
  <c r="A5701" i="1"/>
  <c r="A5702" i="1"/>
  <c r="A5703" i="1"/>
  <c r="B5703" i="1"/>
  <c r="A5704" i="1"/>
  <c r="B5704" i="1"/>
  <c r="A5705" i="1"/>
  <c r="B5705" i="1"/>
  <c r="A5706" i="1"/>
  <c r="B5706" i="1"/>
  <c r="A5707" i="1"/>
  <c r="A5708" i="1"/>
  <c r="B5708" i="1"/>
  <c r="A5709" i="1"/>
  <c r="B5709" i="1"/>
  <c r="A5710" i="1"/>
  <c r="B5710" i="1"/>
  <c r="A5711" i="1"/>
  <c r="B5711" i="1"/>
  <c r="A5712" i="1"/>
  <c r="B5712" i="1"/>
  <c r="A5713" i="1"/>
  <c r="B5713" i="1"/>
  <c r="A5714" i="1"/>
  <c r="B5714" i="1"/>
  <c r="A5715" i="1"/>
  <c r="B5715" i="1"/>
  <c r="A5716" i="1"/>
  <c r="B5716" i="1"/>
  <c r="A5717" i="1"/>
  <c r="A5718" i="1"/>
  <c r="B5718" i="1"/>
  <c r="A5719" i="1"/>
  <c r="A5720" i="1"/>
  <c r="B5720" i="1"/>
  <c r="A5721" i="1"/>
  <c r="B5721" i="1"/>
  <c r="A5722" i="1"/>
  <c r="A5723" i="1"/>
  <c r="A5724" i="1"/>
  <c r="B5724" i="1"/>
  <c r="A5725" i="1"/>
  <c r="B5725" i="1"/>
  <c r="A5726" i="1"/>
  <c r="B5726" i="1"/>
  <c r="A5727" i="1"/>
  <c r="B5727" i="1"/>
  <c r="A5728" i="1"/>
  <c r="B5728" i="1"/>
  <c r="A5729" i="1"/>
  <c r="B5729" i="1"/>
  <c r="A5730" i="1"/>
  <c r="B5730" i="1"/>
  <c r="A5731" i="1"/>
  <c r="B5731" i="1"/>
  <c r="A5732" i="1"/>
  <c r="B5732" i="1"/>
  <c r="A5733" i="1"/>
  <c r="B5733" i="1"/>
  <c r="A5734" i="1"/>
  <c r="B5734" i="1"/>
  <c r="A5735" i="1"/>
  <c r="B5735" i="1"/>
  <c r="A5736" i="1"/>
  <c r="B5736" i="1"/>
  <c r="A5737" i="1"/>
  <c r="B5737" i="1"/>
  <c r="A5738" i="1"/>
  <c r="A5739" i="1"/>
  <c r="B5739" i="1"/>
  <c r="A5740" i="1"/>
  <c r="B5740" i="1"/>
  <c r="A5741" i="1"/>
  <c r="B5741" i="1"/>
  <c r="A5742" i="1"/>
  <c r="B5742" i="1"/>
  <c r="A5743" i="1"/>
  <c r="A5744" i="1"/>
  <c r="B5744" i="1"/>
  <c r="A5745" i="1"/>
  <c r="B5745" i="1"/>
  <c r="A5746" i="1"/>
  <c r="A5747" i="1"/>
  <c r="B5747" i="1"/>
  <c r="A5748" i="1"/>
  <c r="B5748" i="1"/>
  <c r="A5749" i="1"/>
  <c r="A5750" i="1"/>
  <c r="A5751" i="1"/>
  <c r="B5751" i="1"/>
  <c r="A5752" i="1"/>
  <c r="B5752" i="1"/>
  <c r="A5753" i="1"/>
  <c r="A5754" i="1"/>
  <c r="B5754" i="1"/>
  <c r="A5755" i="1"/>
  <c r="B5755" i="1"/>
  <c r="A5756" i="1"/>
  <c r="B5756" i="1"/>
  <c r="A5757" i="1"/>
  <c r="B5757" i="1"/>
  <c r="A5758" i="1"/>
  <c r="B5758" i="1"/>
  <c r="A5759" i="1"/>
  <c r="B5759" i="1"/>
  <c r="A5760" i="1"/>
  <c r="A5761" i="1"/>
  <c r="B5761" i="1"/>
  <c r="A5762" i="1"/>
  <c r="A5763" i="1"/>
  <c r="B5763" i="1"/>
  <c r="A5764" i="1"/>
  <c r="A5765" i="1"/>
  <c r="B5765" i="1"/>
  <c r="A5766" i="1"/>
  <c r="B5766" i="1"/>
  <c r="A5767" i="1"/>
  <c r="A5768" i="1"/>
  <c r="B5768" i="1"/>
  <c r="A5769" i="1"/>
  <c r="B5769" i="1"/>
  <c r="A5770" i="1"/>
  <c r="B5770" i="1"/>
  <c r="A5771" i="1"/>
  <c r="B5771" i="1"/>
  <c r="A5772" i="1"/>
  <c r="B5772" i="1"/>
  <c r="A5773" i="1"/>
  <c r="B5773" i="1"/>
  <c r="A5774" i="1"/>
  <c r="A5775" i="1"/>
  <c r="A5776" i="1"/>
  <c r="A5777" i="1"/>
  <c r="A5778" i="1"/>
  <c r="A5779" i="1"/>
  <c r="A5780" i="1"/>
  <c r="A5781" i="1"/>
  <c r="B5781" i="1"/>
  <c r="A5782" i="1"/>
  <c r="B5782" i="1"/>
  <c r="A5783" i="1"/>
  <c r="B5783" i="1"/>
  <c r="A5784" i="1"/>
  <c r="B5784" i="1"/>
  <c r="A5785" i="1"/>
  <c r="B5785" i="1"/>
  <c r="A5786" i="1"/>
  <c r="B5786" i="1"/>
  <c r="A5787" i="1"/>
  <c r="B5787" i="1"/>
  <c r="A5788" i="1"/>
  <c r="B5788" i="1"/>
  <c r="A5789" i="1"/>
  <c r="B5789" i="1"/>
  <c r="A5790" i="1"/>
  <c r="A5791" i="1"/>
  <c r="B5791" i="1"/>
  <c r="A5792" i="1"/>
  <c r="B5792" i="1"/>
  <c r="A5793" i="1"/>
  <c r="B5793" i="1"/>
  <c r="A5794" i="1"/>
  <c r="B5794" i="1"/>
  <c r="A5795" i="1"/>
  <c r="B5795" i="1"/>
  <c r="A5796" i="1"/>
  <c r="B5796" i="1"/>
  <c r="A5797" i="1"/>
  <c r="B5797" i="1"/>
  <c r="A5798" i="1"/>
  <c r="B5798" i="1"/>
  <c r="A5799" i="1"/>
  <c r="A5800" i="1"/>
  <c r="B5800" i="1"/>
  <c r="A5801" i="1"/>
  <c r="A5802" i="1"/>
  <c r="B5802" i="1"/>
  <c r="A5803" i="1"/>
  <c r="B5803" i="1"/>
  <c r="A5804" i="1"/>
  <c r="B5804" i="1"/>
  <c r="A5805" i="1"/>
  <c r="B5805" i="1"/>
  <c r="A5806" i="1"/>
  <c r="B5806" i="1"/>
  <c r="A5807" i="1"/>
  <c r="B5807" i="1"/>
  <c r="A5808" i="1"/>
  <c r="B5808" i="1"/>
  <c r="A5809" i="1"/>
  <c r="B5809" i="1"/>
  <c r="A5810" i="1"/>
  <c r="B5810" i="1"/>
  <c r="A5811" i="1"/>
  <c r="A5812" i="1"/>
  <c r="B5812" i="1"/>
  <c r="A5813" i="1"/>
  <c r="B5813" i="1"/>
  <c r="A5814" i="1"/>
  <c r="A5815" i="1"/>
  <c r="A5816" i="1"/>
  <c r="B5816" i="1"/>
  <c r="A5817" i="1"/>
  <c r="A5818" i="1"/>
  <c r="B5818" i="1"/>
  <c r="A5819" i="1"/>
  <c r="B5819" i="1"/>
  <c r="A5820" i="1"/>
  <c r="B5820" i="1"/>
  <c r="A5821" i="1"/>
  <c r="B5821" i="1"/>
  <c r="A5822" i="1"/>
  <c r="B5822" i="1"/>
  <c r="A5823" i="1"/>
  <c r="B5823" i="1"/>
  <c r="A5824" i="1"/>
  <c r="B5824" i="1"/>
  <c r="A5825" i="1"/>
  <c r="B5825" i="1"/>
  <c r="A5826" i="1"/>
  <c r="B5826" i="1"/>
  <c r="A5827" i="1"/>
  <c r="A5828" i="1"/>
  <c r="B5828" i="1"/>
  <c r="A5829" i="1"/>
  <c r="B5829" i="1"/>
  <c r="A5830" i="1"/>
  <c r="B5830" i="1"/>
  <c r="A5831" i="1"/>
  <c r="B5831" i="1"/>
  <c r="A5832" i="1"/>
  <c r="B5832" i="1"/>
  <c r="A5833" i="1"/>
  <c r="B5833" i="1"/>
  <c r="A5834" i="1"/>
  <c r="B5834" i="1"/>
  <c r="A5835" i="1"/>
  <c r="B5835" i="1"/>
  <c r="A5836" i="1"/>
  <c r="B5836" i="1"/>
  <c r="A5837" i="1"/>
  <c r="B5837" i="1"/>
  <c r="A5838" i="1"/>
  <c r="B5838" i="1"/>
  <c r="A5839" i="1"/>
  <c r="B5839" i="1"/>
  <c r="A5840" i="1"/>
  <c r="B5840" i="1"/>
  <c r="A5841" i="1"/>
  <c r="B5841" i="1"/>
  <c r="A5842" i="1"/>
  <c r="B5842" i="1"/>
  <c r="A5843" i="1"/>
  <c r="B5843" i="1"/>
  <c r="A5844" i="1"/>
  <c r="A5845" i="1"/>
  <c r="B5845" i="1"/>
  <c r="A5846" i="1"/>
  <c r="B5846" i="1"/>
  <c r="A5847" i="1"/>
  <c r="B5847" i="1"/>
  <c r="A5848" i="1"/>
  <c r="B5848" i="1"/>
  <c r="A5849" i="1"/>
  <c r="B5849" i="1"/>
  <c r="A5850" i="1"/>
  <c r="B5850" i="1"/>
  <c r="A5851" i="1"/>
  <c r="B5851" i="1"/>
  <c r="A5852" i="1"/>
  <c r="B5852" i="1"/>
  <c r="A5853" i="1"/>
  <c r="B5853" i="1"/>
  <c r="A5854" i="1"/>
  <c r="A5855" i="1"/>
  <c r="A5856" i="1"/>
  <c r="B5856" i="1"/>
  <c r="A5857" i="1"/>
  <c r="B5857" i="1"/>
  <c r="A5858" i="1"/>
  <c r="B5858" i="1"/>
  <c r="A5859" i="1"/>
  <c r="B5859" i="1"/>
  <c r="A5860" i="1"/>
  <c r="B5860" i="1"/>
  <c r="A5861" i="1"/>
  <c r="B5861" i="1"/>
  <c r="A5862" i="1"/>
  <c r="B5862" i="1"/>
  <c r="A5863" i="1"/>
  <c r="A5864" i="1"/>
  <c r="B5864" i="1"/>
  <c r="A5865" i="1"/>
  <c r="B5865" i="1"/>
  <c r="A5866" i="1"/>
  <c r="A5867" i="1"/>
  <c r="B5867" i="1"/>
  <c r="A5868" i="1"/>
  <c r="B5868" i="1"/>
  <c r="A5869" i="1"/>
  <c r="B5869" i="1"/>
  <c r="A5870" i="1"/>
  <c r="B5870" i="1"/>
  <c r="A5871" i="1"/>
  <c r="B5871" i="1"/>
  <c r="A5872" i="1"/>
  <c r="B5872" i="1"/>
  <c r="A5873" i="1"/>
  <c r="B5873" i="1"/>
  <c r="A5874" i="1"/>
  <c r="B5874" i="1"/>
  <c r="A5875" i="1"/>
  <c r="B5875" i="1"/>
  <c r="A5876" i="1"/>
  <c r="B5876" i="1"/>
  <c r="A5877" i="1"/>
  <c r="B5877" i="1"/>
  <c r="A5878" i="1"/>
  <c r="A5879" i="1"/>
  <c r="B5879" i="1"/>
  <c r="A5880" i="1"/>
  <c r="A5881" i="1"/>
  <c r="A5882" i="1"/>
  <c r="A5883" i="1"/>
  <c r="A5884" i="1"/>
  <c r="A5885" i="1"/>
  <c r="B5885" i="1"/>
  <c r="A5886" i="1"/>
  <c r="A5887" i="1"/>
  <c r="B5887" i="1"/>
  <c r="A5888" i="1"/>
  <c r="B5888" i="1"/>
  <c r="A5889" i="1"/>
  <c r="B5889" i="1"/>
  <c r="A5890" i="1"/>
  <c r="A5891" i="1"/>
  <c r="A5892" i="1"/>
  <c r="B5892" i="1"/>
  <c r="A5893" i="1"/>
  <c r="A5894" i="1"/>
  <c r="B5894" i="1"/>
  <c r="A5895" i="1"/>
  <c r="A5896" i="1"/>
  <c r="B5896" i="1"/>
  <c r="A5897" i="1"/>
  <c r="A5898" i="1"/>
  <c r="B5898" i="1"/>
  <c r="A5899" i="1"/>
  <c r="B5899" i="1"/>
  <c r="A5900" i="1"/>
  <c r="B5900" i="1"/>
  <c r="A5901" i="1"/>
  <c r="B5901" i="1"/>
  <c r="A5902" i="1"/>
  <c r="B5902" i="1"/>
  <c r="A5903" i="1"/>
  <c r="B5903" i="1"/>
  <c r="A5904" i="1"/>
  <c r="B5904" i="1"/>
  <c r="A5905" i="1"/>
  <c r="A5906" i="1"/>
  <c r="A5907" i="1"/>
  <c r="A5908" i="1"/>
  <c r="B5908" i="1"/>
  <c r="A5909" i="1"/>
  <c r="B5909" i="1"/>
  <c r="A5910" i="1"/>
  <c r="B5910" i="1"/>
  <c r="A5911" i="1"/>
  <c r="A5912" i="1"/>
  <c r="B5912" i="1"/>
  <c r="A5913" i="1"/>
  <c r="A5914" i="1"/>
  <c r="B5914" i="1"/>
  <c r="A5915" i="1"/>
  <c r="B5915" i="1"/>
  <c r="A5916" i="1"/>
  <c r="A5917" i="1"/>
  <c r="B5917" i="1"/>
  <c r="A5918" i="1"/>
  <c r="B5918" i="1"/>
  <c r="A5919" i="1"/>
  <c r="A5920" i="1"/>
  <c r="B5920" i="1"/>
  <c r="A5921" i="1"/>
  <c r="B5921" i="1"/>
  <c r="A5922" i="1"/>
  <c r="A5923" i="1"/>
  <c r="A5924" i="1"/>
  <c r="A5925" i="1"/>
  <c r="A5926" i="1"/>
  <c r="A5927" i="1"/>
  <c r="A5928" i="1"/>
  <c r="A5929" i="1"/>
  <c r="A5930" i="1"/>
  <c r="A5931" i="1"/>
  <c r="B5931" i="1"/>
  <c r="A5932" i="1"/>
  <c r="B5932" i="1"/>
  <c r="A5933" i="1"/>
  <c r="B5933" i="1"/>
  <c r="A5934" i="1"/>
  <c r="B5934" i="1"/>
  <c r="A5935" i="1"/>
  <c r="A5936" i="1"/>
  <c r="B5936" i="1"/>
  <c r="A5937" i="1"/>
  <c r="B5937" i="1"/>
  <c r="A5938" i="1"/>
  <c r="B5938" i="1"/>
  <c r="A5939" i="1"/>
  <c r="B5939" i="1"/>
  <c r="A5940" i="1"/>
  <c r="B5940" i="1"/>
  <c r="A5941" i="1"/>
  <c r="B5941" i="1"/>
  <c r="A5942" i="1"/>
  <c r="B5942" i="1"/>
  <c r="A5943" i="1"/>
  <c r="B5943" i="1"/>
  <c r="A5944" i="1"/>
  <c r="B5944" i="1"/>
  <c r="A5945" i="1"/>
  <c r="A5946" i="1"/>
  <c r="B5946" i="1"/>
  <c r="A5947" i="1"/>
  <c r="B5947" i="1"/>
  <c r="A5948" i="1"/>
  <c r="B5948" i="1"/>
  <c r="A5949" i="1"/>
  <c r="A5950" i="1"/>
  <c r="A5951" i="1"/>
  <c r="B5951" i="1"/>
  <c r="A5952" i="1"/>
  <c r="B5952" i="1"/>
  <c r="A5953" i="1"/>
  <c r="A5954" i="1"/>
  <c r="B5954" i="1"/>
  <c r="A5955" i="1"/>
  <c r="B5955" i="1"/>
  <c r="A5956" i="1"/>
  <c r="B5956" i="1"/>
  <c r="A5957" i="1"/>
  <c r="A5958" i="1"/>
  <c r="A5959" i="1"/>
  <c r="B5959" i="1"/>
  <c r="A5960" i="1"/>
  <c r="A5961" i="1"/>
  <c r="B5961" i="1"/>
  <c r="A5962" i="1"/>
  <c r="A5963" i="1"/>
  <c r="A5964" i="1"/>
  <c r="B5964" i="1"/>
  <c r="A5965" i="1"/>
  <c r="B5965" i="1"/>
  <c r="A5966" i="1"/>
  <c r="B5966" i="1"/>
  <c r="A5967" i="1"/>
  <c r="A5968" i="1"/>
  <c r="A5969" i="1"/>
  <c r="B5969" i="1"/>
  <c r="A5970" i="1"/>
  <c r="A5971" i="1"/>
  <c r="B5971" i="1"/>
  <c r="A5972" i="1"/>
  <c r="B5972" i="1"/>
  <c r="A5973" i="1"/>
  <c r="B5973" i="1"/>
  <c r="A5974" i="1"/>
  <c r="A5975" i="1"/>
  <c r="B5975" i="1"/>
  <c r="A5976" i="1"/>
  <c r="B5976" i="1"/>
  <c r="A5977" i="1"/>
  <c r="B5977" i="1"/>
  <c r="A5978" i="1"/>
  <c r="B5978" i="1"/>
  <c r="A5979" i="1"/>
  <c r="A5980" i="1"/>
  <c r="B5980" i="1"/>
  <c r="A5981" i="1"/>
  <c r="B5981" i="1"/>
  <c r="A5982" i="1"/>
  <c r="B5982" i="1"/>
  <c r="A5983" i="1"/>
  <c r="B5983" i="1"/>
  <c r="A5984" i="1"/>
  <c r="A5985" i="1"/>
  <c r="B5985" i="1"/>
  <c r="A5986" i="1"/>
  <c r="B5986" i="1"/>
  <c r="A5987" i="1"/>
  <c r="B5987" i="1"/>
  <c r="A5988" i="1"/>
  <c r="B5988" i="1"/>
  <c r="A5989" i="1"/>
  <c r="B5989" i="1"/>
  <c r="A5990" i="1"/>
  <c r="A5991" i="1"/>
  <c r="B5991" i="1"/>
  <c r="A5992" i="1"/>
  <c r="B5992" i="1"/>
  <c r="A5993" i="1"/>
  <c r="B5993" i="1"/>
  <c r="A5994" i="1"/>
  <c r="A5995" i="1"/>
  <c r="A5996" i="1"/>
  <c r="B5996" i="1"/>
  <c r="A5997" i="1"/>
  <c r="B5997" i="1"/>
  <c r="A5998" i="1"/>
  <c r="B5998" i="1"/>
  <c r="A5999" i="1"/>
  <c r="B5999" i="1"/>
  <c r="A6000" i="1"/>
  <c r="B6000" i="1"/>
  <c r="A6001" i="1"/>
  <c r="B6001" i="1"/>
  <c r="A6002" i="1"/>
  <c r="B6002" i="1"/>
  <c r="A6003" i="1"/>
  <c r="B6003" i="1"/>
  <c r="A6004" i="1"/>
  <c r="A6005" i="1"/>
  <c r="B6005" i="1"/>
  <c r="A6006" i="1"/>
  <c r="B6006" i="1"/>
  <c r="A6007" i="1"/>
  <c r="B6007" i="1"/>
  <c r="A6008" i="1"/>
  <c r="B6008" i="1"/>
  <c r="A6009" i="1"/>
  <c r="B6009" i="1"/>
  <c r="A6010" i="1"/>
  <c r="B6010" i="1"/>
  <c r="A6011" i="1"/>
  <c r="B6011" i="1"/>
  <c r="A6012" i="1"/>
  <c r="B6012" i="1"/>
  <c r="A6013" i="1"/>
  <c r="B6013" i="1"/>
  <c r="A6014" i="1"/>
  <c r="B6014" i="1"/>
  <c r="A6015" i="1"/>
  <c r="B6015" i="1"/>
  <c r="A6016" i="1"/>
  <c r="B6016" i="1"/>
  <c r="A6017" i="1"/>
  <c r="B6017" i="1"/>
  <c r="A6018" i="1"/>
  <c r="B6018" i="1"/>
  <c r="A6019" i="1"/>
  <c r="B6019" i="1"/>
  <c r="A6020" i="1"/>
  <c r="B6020" i="1"/>
  <c r="A6021" i="1"/>
  <c r="A6022" i="1"/>
  <c r="B6022" i="1"/>
  <c r="A6023" i="1"/>
  <c r="B6023" i="1"/>
  <c r="A6024" i="1"/>
  <c r="A6025" i="1"/>
  <c r="B6025" i="1"/>
  <c r="A6026" i="1"/>
  <c r="A6027" i="1"/>
  <c r="A6028" i="1"/>
  <c r="B6028" i="1"/>
  <c r="A6029" i="1"/>
  <c r="A6030" i="1"/>
  <c r="B6030" i="1"/>
  <c r="A6031" i="1"/>
  <c r="B6031" i="1"/>
  <c r="A6032" i="1"/>
  <c r="B6032" i="1"/>
  <c r="A6033" i="1"/>
  <c r="A6034" i="1"/>
  <c r="A6035" i="1"/>
  <c r="A6036" i="1"/>
  <c r="A6037" i="1"/>
  <c r="B6037" i="1"/>
  <c r="A6038" i="1"/>
  <c r="B6038" i="1"/>
  <c r="A6039" i="1"/>
  <c r="B6039" i="1"/>
  <c r="A6040" i="1"/>
  <c r="B6040" i="1"/>
  <c r="A6041" i="1"/>
  <c r="B6041" i="1"/>
  <c r="A6042" i="1"/>
  <c r="B6042" i="1"/>
  <c r="A6043" i="1"/>
  <c r="B6043" i="1"/>
  <c r="A6044" i="1"/>
  <c r="B6044" i="1"/>
  <c r="A6045" i="1"/>
  <c r="B6045" i="1"/>
  <c r="A6046" i="1"/>
  <c r="B6046" i="1"/>
  <c r="A6047" i="1"/>
  <c r="A6048" i="1"/>
  <c r="B6048" i="1"/>
  <c r="A6049" i="1"/>
  <c r="B6049" i="1"/>
  <c r="A6050" i="1"/>
  <c r="B6050" i="1"/>
  <c r="A6051" i="1"/>
  <c r="B6051" i="1"/>
  <c r="A6052" i="1"/>
  <c r="B6052" i="1"/>
  <c r="A6053" i="1"/>
  <c r="B6053" i="1"/>
  <c r="A6054" i="1"/>
  <c r="B6054" i="1"/>
  <c r="A6055" i="1"/>
  <c r="B6055" i="1"/>
  <c r="A6056" i="1"/>
  <c r="B6056" i="1"/>
  <c r="A6057" i="1"/>
  <c r="B6057" i="1"/>
  <c r="A6058" i="1"/>
  <c r="B6058" i="1"/>
  <c r="A6059" i="1"/>
  <c r="B6059" i="1"/>
  <c r="A6060" i="1"/>
  <c r="B6060" i="1"/>
  <c r="A6061" i="1"/>
  <c r="B6061" i="1"/>
  <c r="A6062" i="1"/>
  <c r="A6063" i="1"/>
  <c r="A6064" i="1"/>
  <c r="B6064" i="1"/>
  <c r="A6065" i="1"/>
  <c r="A6066" i="1"/>
  <c r="A6067" i="1"/>
  <c r="B6067" i="1"/>
  <c r="A6068" i="1"/>
  <c r="A6069" i="1"/>
  <c r="B6069" i="1"/>
  <c r="A6070" i="1"/>
  <c r="A6071" i="1"/>
  <c r="B6071" i="1"/>
  <c r="A6072" i="1"/>
  <c r="B6072" i="1"/>
  <c r="A6073" i="1"/>
  <c r="B6073" i="1"/>
  <c r="A6074" i="1"/>
  <c r="A6075" i="1"/>
  <c r="A6076" i="1"/>
  <c r="A6077" i="1"/>
  <c r="B6077" i="1"/>
  <c r="A6078" i="1"/>
  <c r="B6078" i="1"/>
  <c r="A6079" i="1"/>
  <c r="B6079" i="1"/>
  <c r="A6080" i="1"/>
  <c r="B6080" i="1"/>
  <c r="A6081" i="1"/>
  <c r="B6081" i="1"/>
  <c r="A6082" i="1"/>
  <c r="B6082" i="1"/>
  <c r="A6083" i="1"/>
  <c r="B6083" i="1"/>
  <c r="A6084" i="1"/>
  <c r="A6085" i="1"/>
  <c r="B6085" i="1"/>
  <c r="A6086" i="1"/>
  <c r="A6087" i="1"/>
  <c r="B6087" i="1"/>
  <c r="A6088" i="1"/>
  <c r="B6088" i="1"/>
  <c r="A6089" i="1"/>
  <c r="B6089" i="1"/>
  <c r="A6090" i="1"/>
  <c r="B6090" i="1"/>
  <c r="A6091" i="1"/>
  <c r="A6092" i="1"/>
  <c r="A6093" i="1"/>
  <c r="B6093" i="1"/>
  <c r="A6094" i="1"/>
  <c r="A6095" i="1"/>
  <c r="B6095" i="1"/>
  <c r="A6096" i="1"/>
  <c r="A6097" i="1"/>
  <c r="B6097" i="1"/>
  <c r="A6098" i="1"/>
  <c r="B6098" i="1"/>
  <c r="A6099" i="1"/>
  <c r="A6100" i="1"/>
  <c r="B6100" i="1"/>
  <c r="A6101" i="1"/>
  <c r="B6101" i="1"/>
  <c r="A6102" i="1"/>
  <c r="B6102" i="1"/>
  <c r="A6103" i="1"/>
  <c r="B6103" i="1"/>
  <c r="A6104" i="1"/>
  <c r="B6104" i="1"/>
  <c r="A6105" i="1"/>
  <c r="B6105" i="1"/>
  <c r="A6106" i="1"/>
  <c r="B6106" i="1"/>
  <c r="A6107" i="1"/>
  <c r="A6108" i="1"/>
  <c r="B6108" i="1"/>
  <c r="A6109" i="1"/>
  <c r="B6109" i="1"/>
  <c r="A6110" i="1"/>
  <c r="A6111" i="1"/>
  <c r="A6112" i="1"/>
  <c r="A6113" i="1"/>
  <c r="B6113" i="1"/>
  <c r="A6114" i="1"/>
  <c r="B6114" i="1"/>
  <c r="A6115" i="1"/>
  <c r="B6115" i="1"/>
  <c r="A6116" i="1"/>
  <c r="B6116" i="1"/>
  <c r="A6117" i="1"/>
  <c r="B6117" i="1"/>
  <c r="A6118" i="1"/>
  <c r="B6118" i="1"/>
  <c r="A6119" i="1"/>
  <c r="B6119" i="1"/>
  <c r="A6120" i="1"/>
  <c r="B6120" i="1"/>
  <c r="A6121" i="1"/>
  <c r="B6121" i="1"/>
  <c r="A6122" i="1"/>
  <c r="B6122" i="1"/>
  <c r="A6123" i="1"/>
  <c r="B6123" i="1"/>
  <c r="A6124" i="1"/>
  <c r="B6124" i="1"/>
  <c r="A6125" i="1"/>
  <c r="B6125" i="1"/>
  <c r="A6126" i="1"/>
  <c r="B6126" i="1"/>
  <c r="A6127" i="1"/>
  <c r="A6128" i="1"/>
  <c r="A6129" i="1"/>
  <c r="A6130" i="1"/>
  <c r="B6130" i="1"/>
  <c r="A6131" i="1"/>
  <c r="B6131" i="1"/>
  <c r="A6132" i="1"/>
  <c r="B6132" i="1"/>
  <c r="A6133" i="1"/>
  <c r="B6133" i="1"/>
  <c r="A6134" i="1"/>
  <c r="B6134" i="1"/>
  <c r="A6135" i="1"/>
  <c r="B6135" i="1"/>
  <c r="A6136" i="1"/>
  <c r="B6136" i="1"/>
  <c r="A6137" i="1"/>
  <c r="B6137" i="1"/>
  <c r="A6138" i="1"/>
  <c r="B6138" i="1"/>
  <c r="A6139" i="1"/>
  <c r="A6140" i="1"/>
  <c r="A6141" i="1"/>
  <c r="B6141" i="1"/>
  <c r="A6142" i="1"/>
  <c r="B6142" i="1"/>
  <c r="A6143" i="1"/>
  <c r="B6143" i="1"/>
  <c r="A6144" i="1"/>
  <c r="B6144" i="1"/>
  <c r="A6145" i="1"/>
  <c r="B6145" i="1"/>
  <c r="A6146" i="1"/>
  <c r="A6147" i="1"/>
  <c r="A6148" i="1"/>
  <c r="A6149" i="1"/>
  <c r="A6150" i="1"/>
  <c r="B6150" i="1"/>
  <c r="A6151" i="1"/>
  <c r="B6151" i="1"/>
  <c r="A6152" i="1"/>
  <c r="B6152" i="1"/>
  <c r="A6153" i="1"/>
  <c r="A6154" i="1"/>
  <c r="A6155" i="1"/>
  <c r="A6156" i="1"/>
  <c r="B6156" i="1"/>
  <c r="A6157" i="1"/>
  <c r="B6157" i="1"/>
  <c r="A6158" i="1"/>
  <c r="B6158" i="1"/>
  <c r="A6159" i="1"/>
  <c r="B6159" i="1"/>
  <c r="A6160" i="1"/>
  <c r="B6160" i="1"/>
  <c r="A6161" i="1"/>
  <c r="B6161" i="1"/>
  <c r="A6162" i="1"/>
  <c r="B6162" i="1"/>
  <c r="A6163" i="1"/>
  <c r="B6163" i="1"/>
  <c r="A6164" i="1"/>
  <c r="A6165" i="1"/>
  <c r="B6165" i="1"/>
  <c r="A6166" i="1"/>
  <c r="B6166" i="1"/>
  <c r="A6167" i="1"/>
  <c r="A6168" i="1"/>
  <c r="B6168" i="1"/>
  <c r="A6169" i="1"/>
  <c r="B6169" i="1"/>
  <c r="A6170" i="1"/>
  <c r="B6170" i="1"/>
  <c r="A6171" i="1"/>
  <c r="B6171" i="1"/>
  <c r="A6172" i="1"/>
  <c r="B6172" i="1"/>
  <c r="A6173" i="1"/>
  <c r="B6173" i="1"/>
  <c r="A6174" i="1"/>
  <c r="B6174" i="1"/>
  <c r="A6175" i="1"/>
  <c r="A6176" i="1"/>
  <c r="B6176" i="1"/>
  <c r="A6177" i="1"/>
  <c r="A6178" i="1"/>
  <c r="B6178" i="1"/>
  <c r="A6179" i="1"/>
  <c r="B6179" i="1"/>
  <c r="A6180" i="1"/>
  <c r="A6181" i="1"/>
  <c r="B6181" i="1"/>
  <c r="A6182" i="1"/>
  <c r="B6182" i="1"/>
  <c r="A6183" i="1"/>
  <c r="B6183" i="1"/>
  <c r="A6184" i="1"/>
  <c r="A6185" i="1"/>
  <c r="B6185" i="1"/>
  <c r="A6186" i="1"/>
  <c r="B6186" i="1"/>
  <c r="A6187" i="1"/>
  <c r="A6188" i="1"/>
  <c r="A6189" i="1"/>
  <c r="A6190" i="1"/>
  <c r="A6191" i="1"/>
  <c r="A6192" i="1"/>
  <c r="B6192" i="1"/>
  <c r="A6193" i="1"/>
  <c r="B6193" i="1"/>
  <c r="A6194" i="1"/>
  <c r="B6194" i="1"/>
  <c r="A6195" i="1"/>
  <c r="B6195" i="1"/>
  <c r="A6196" i="1"/>
  <c r="A6197" i="1"/>
  <c r="B6197" i="1"/>
  <c r="A6198" i="1"/>
  <c r="B6198" i="1"/>
  <c r="A6199" i="1"/>
  <c r="A6200" i="1"/>
  <c r="B6200" i="1"/>
  <c r="A6201" i="1"/>
  <c r="B6201" i="1"/>
  <c r="A6202" i="1"/>
  <c r="A6203" i="1"/>
  <c r="B6203" i="1"/>
  <c r="A6204" i="1"/>
  <c r="B6204" i="1"/>
  <c r="A6205" i="1"/>
  <c r="B6205" i="1"/>
  <c r="A6206" i="1"/>
  <c r="B6206" i="1"/>
  <c r="A6207" i="1"/>
  <c r="B6207" i="1"/>
  <c r="A6208" i="1"/>
  <c r="B6208" i="1"/>
  <c r="A6209" i="1"/>
  <c r="A6210" i="1"/>
  <c r="B6210" i="1"/>
  <c r="A6211" i="1"/>
  <c r="B6211" i="1"/>
  <c r="A6212" i="1"/>
  <c r="B6212" i="1"/>
  <c r="A6213" i="1"/>
  <c r="B6213" i="1"/>
  <c r="A6214" i="1"/>
  <c r="B6214" i="1"/>
  <c r="A6215" i="1"/>
  <c r="B6215" i="1"/>
  <c r="A6216" i="1"/>
  <c r="B6216" i="1"/>
  <c r="A6217" i="1"/>
  <c r="B6217" i="1"/>
  <c r="A6218" i="1"/>
  <c r="B6218" i="1"/>
  <c r="A6219" i="1"/>
  <c r="B6219" i="1"/>
  <c r="A6220" i="1"/>
  <c r="B6220" i="1"/>
  <c r="A6221" i="1"/>
  <c r="B6221" i="1"/>
  <c r="A6222" i="1"/>
  <c r="B6222" i="1"/>
  <c r="A6223" i="1"/>
  <c r="B6223" i="1"/>
  <c r="A6224" i="1"/>
  <c r="A6225" i="1"/>
  <c r="B6225" i="1"/>
  <c r="A6226" i="1"/>
  <c r="B6226" i="1"/>
  <c r="A6227" i="1"/>
  <c r="B6227" i="1"/>
  <c r="A6228" i="1"/>
  <c r="B6228" i="1"/>
  <c r="A6229" i="1"/>
  <c r="A6230" i="1"/>
  <c r="B6230" i="1"/>
  <c r="A6231" i="1"/>
  <c r="B6231" i="1"/>
  <c r="A6232" i="1"/>
  <c r="B6232" i="1"/>
  <c r="A6233" i="1"/>
  <c r="B6233" i="1"/>
  <c r="A6234" i="1"/>
  <c r="B6234" i="1"/>
  <c r="A6235" i="1"/>
  <c r="B6235" i="1"/>
  <c r="A6236" i="1"/>
  <c r="B6236" i="1"/>
  <c r="A6237" i="1"/>
  <c r="A6238" i="1"/>
  <c r="A6239" i="1"/>
  <c r="B6239" i="1"/>
  <c r="A6240" i="1"/>
  <c r="A6241" i="1"/>
  <c r="A6242" i="1"/>
  <c r="B6242" i="1"/>
  <c r="A6243" i="1"/>
  <c r="B6243" i="1"/>
  <c r="A6244" i="1"/>
  <c r="B6244" i="1"/>
  <c r="A6245" i="1"/>
  <c r="A6246" i="1"/>
  <c r="B6246" i="1"/>
  <c r="A6247" i="1"/>
  <c r="B6247" i="1"/>
  <c r="A6248" i="1"/>
  <c r="B6248" i="1"/>
  <c r="A6249" i="1"/>
  <c r="B6249" i="1"/>
  <c r="A6250" i="1"/>
  <c r="B6250" i="1"/>
  <c r="A6251" i="1"/>
  <c r="B6251" i="1"/>
  <c r="A6252" i="1"/>
  <c r="B6252" i="1"/>
  <c r="A6253" i="1"/>
  <c r="B6253" i="1"/>
  <c r="A6254" i="1"/>
  <c r="B6254" i="1"/>
  <c r="A6255" i="1"/>
  <c r="B6255" i="1"/>
  <c r="A6256" i="1"/>
  <c r="B6256" i="1"/>
  <c r="A6257" i="1"/>
  <c r="B6257" i="1"/>
  <c r="A6258" i="1"/>
  <c r="B6258" i="1"/>
  <c r="A6259" i="1"/>
  <c r="B6259" i="1"/>
  <c r="A6260" i="1"/>
  <c r="B6260" i="1"/>
  <c r="A6261" i="1"/>
  <c r="B6261" i="1"/>
  <c r="A6262" i="1"/>
  <c r="B6262" i="1"/>
  <c r="A6263" i="1"/>
  <c r="B6263" i="1"/>
  <c r="A6264" i="1"/>
  <c r="B6264" i="1"/>
  <c r="A6265" i="1"/>
  <c r="B6265" i="1"/>
  <c r="A6266" i="1"/>
  <c r="B6266" i="1"/>
  <c r="A6267" i="1"/>
  <c r="B6267" i="1"/>
  <c r="A6268" i="1"/>
  <c r="B6268" i="1"/>
  <c r="A6269" i="1"/>
  <c r="B6269" i="1"/>
  <c r="A6270" i="1"/>
  <c r="B6270" i="1"/>
  <c r="A6271" i="1"/>
  <c r="B6271" i="1"/>
  <c r="A6272" i="1"/>
  <c r="B6272" i="1"/>
  <c r="A6273" i="1"/>
  <c r="B6273" i="1"/>
  <c r="A6274" i="1"/>
  <c r="B6274" i="1"/>
  <c r="A6275" i="1"/>
  <c r="B6275" i="1"/>
  <c r="A6276" i="1"/>
  <c r="B6276" i="1"/>
  <c r="A6277" i="1"/>
  <c r="B6277" i="1"/>
  <c r="A6278" i="1"/>
  <c r="B6278" i="1"/>
  <c r="A6279" i="1"/>
  <c r="B6279" i="1"/>
  <c r="A6280" i="1"/>
  <c r="B6280" i="1"/>
  <c r="A6281" i="1"/>
  <c r="A6282" i="1"/>
  <c r="B6282" i="1"/>
  <c r="A6283" i="1"/>
  <c r="B6283" i="1"/>
  <c r="A6284" i="1"/>
  <c r="A6285" i="1"/>
  <c r="B6285" i="1"/>
  <c r="A6286" i="1"/>
  <c r="B6286" i="1"/>
  <c r="A6287" i="1"/>
  <c r="A6288" i="1"/>
  <c r="B6288" i="1"/>
  <c r="A6289" i="1"/>
  <c r="B6289" i="1"/>
  <c r="A6290" i="1"/>
  <c r="B6290" i="1"/>
  <c r="A6291" i="1"/>
  <c r="B6291" i="1"/>
  <c r="A6292" i="1"/>
  <c r="B6292" i="1"/>
  <c r="A6293" i="1"/>
  <c r="B6293" i="1"/>
  <c r="A6294" i="1"/>
  <c r="B6294" i="1"/>
  <c r="A6295" i="1"/>
  <c r="A6296" i="1"/>
  <c r="A6297" i="1"/>
  <c r="B6297" i="1"/>
  <c r="A6298" i="1"/>
  <c r="B6298" i="1"/>
  <c r="A6299" i="1"/>
  <c r="B6299" i="1"/>
  <c r="A6300" i="1"/>
  <c r="B6300" i="1"/>
  <c r="A6301" i="1"/>
  <c r="B6301" i="1"/>
  <c r="A6302" i="1"/>
  <c r="B6302" i="1"/>
  <c r="A6303" i="1"/>
  <c r="B6303" i="1"/>
  <c r="A6304" i="1"/>
  <c r="B6304" i="1"/>
  <c r="A6305" i="1"/>
  <c r="B6305" i="1"/>
  <c r="A6306" i="1"/>
  <c r="B6306" i="1"/>
  <c r="A6307" i="1"/>
  <c r="A6308" i="1"/>
  <c r="A6309" i="1"/>
  <c r="B6309" i="1"/>
  <c r="A6310" i="1"/>
  <c r="B6310" i="1"/>
  <c r="A6311" i="1"/>
  <c r="B6311" i="1"/>
  <c r="A6312" i="1"/>
  <c r="B6312" i="1"/>
  <c r="A6313" i="1"/>
  <c r="B6313" i="1"/>
  <c r="A6314" i="1"/>
  <c r="B6314" i="1"/>
  <c r="A6315" i="1"/>
  <c r="B6315" i="1"/>
  <c r="A6316" i="1"/>
  <c r="A6317" i="1"/>
  <c r="B6317" i="1"/>
  <c r="A6318" i="1"/>
  <c r="B6318" i="1"/>
  <c r="A6319" i="1"/>
  <c r="B6319" i="1"/>
  <c r="A6320" i="1"/>
  <c r="A6321" i="1"/>
  <c r="B6321" i="1"/>
  <c r="A6322" i="1"/>
  <c r="B6322" i="1"/>
  <c r="A6323" i="1"/>
  <c r="B6323" i="1"/>
  <c r="A6324" i="1"/>
  <c r="B6324" i="1"/>
  <c r="A6325" i="1"/>
  <c r="B6325" i="1"/>
  <c r="A6326" i="1"/>
  <c r="B6326" i="1"/>
  <c r="A6327" i="1"/>
  <c r="B6327" i="1"/>
  <c r="A6328" i="1"/>
  <c r="B6328" i="1"/>
  <c r="A6329" i="1"/>
  <c r="B6329" i="1"/>
  <c r="A6330" i="1"/>
  <c r="B6330" i="1"/>
  <c r="A6331" i="1"/>
  <c r="B6331" i="1"/>
  <c r="A6332" i="1"/>
  <c r="B6332" i="1"/>
  <c r="A6333" i="1"/>
  <c r="B6333" i="1"/>
  <c r="A6334" i="1"/>
  <c r="B6334" i="1"/>
  <c r="A6335" i="1"/>
  <c r="B6335" i="1"/>
  <c r="A6336" i="1"/>
  <c r="B6336" i="1"/>
  <c r="A6337" i="1"/>
  <c r="A6338" i="1"/>
  <c r="A6339" i="1"/>
  <c r="B6339" i="1"/>
  <c r="A6340" i="1"/>
  <c r="B6340" i="1"/>
  <c r="A6341" i="1"/>
  <c r="A6342" i="1"/>
  <c r="A6343" i="1"/>
  <c r="A6344" i="1"/>
  <c r="A6345" i="1"/>
  <c r="B6345" i="1"/>
  <c r="A6346" i="1"/>
  <c r="A6347" i="1"/>
  <c r="A6348" i="1"/>
  <c r="B6348" i="1"/>
  <c r="A6349" i="1"/>
  <c r="B6349" i="1"/>
  <c r="A6350" i="1"/>
  <c r="A6351" i="1"/>
  <c r="A6352" i="1"/>
  <c r="A6353" i="1"/>
  <c r="B6353" i="1"/>
  <c r="A6354" i="1"/>
  <c r="B6354" i="1"/>
  <c r="A6355" i="1"/>
  <c r="B6355" i="1"/>
  <c r="A6356" i="1"/>
  <c r="B6356" i="1"/>
  <c r="A6357" i="1"/>
  <c r="B6357" i="1"/>
  <c r="A6358" i="1"/>
  <c r="B6358" i="1"/>
  <c r="A6359" i="1"/>
  <c r="B6359" i="1"/>
  <c r="A6360" i="1"/>
  <c r="A6361" i="1"/>
  <c r="A6362" i="1"/>
  <c r="B6362" i="1"/>
  <c r="A6363" i="1"/>
  <c r="B6363" i="1"/>
  <c r="A6364" i="1"/>
  <c r="A6365" i="1"/>
  <c r="A6366" i="1"/>
  <c r="A6367" i="1"/>
  <c r="B6367" i="1"/>
  <c r="A6368" i="1"/>
  <c r="B6368" i="1"/>
  <c r="A6369" i="1"/>
  <c r="B6369" i="1"/>
  <c r="A6370" i="1"/>
  <c r="B6370" i="1"/>
  <c r="A6371" i="1"/>
  <c r="B6371" i="1"/>
  <c r="A6372" i="1"/>
  <c r="B6372" i="1"/>
  <c r="A6373" i="1"/>
  <c r="A6374" i="1"/>
  <c r="B6374" i="1"/>
  <c r="A6375" i="1"/>
  <c r="B6375" i="1"/>
  <c r="A6376" i="1"/>
  <c r="A6377" i="1"/>
  <c r="B6377" i="1"/>
  <c r="A6378" i="1"/>
  <c r="B6378" i="1"/>
  <c r="A6379" i="1"/>
  <c r="B6379" i="1"/>
  <c r="A6380" i="1"/>
  <c r="B6380" i="1"/>
  <c r="A6381" i="1"/>
  <c r="B6381" i="1"/>
  <c r="A6382" i="1"/>
  <c r="A6383" i="1"/>
  <c r="A6384" i="1"/>
  <c r="A6385" i="1"/>
  <c r="B6385" i="1"/>
  <c r="A6386" i="1"/>
  <c r="B6386" i="1"/>
  <c r="A6387" i="1"/>
  <c r="B6387" i="1"/>
  <c r="A6388" i="1"/>
  <c r="B6388" i="1"/>
  <c r="A6389" i="1"/>
  <c r="B6389" i="1"/>
  <c r="A6390" i="1"/>
  <c r="B6390" i="1"/>
  <c r="A6391" i="1"/>
  <c r="B6391" i="1"/>
  <c r="A6392" i="1"/>
  <c r="A6393" i="1"/>
  <c r="B6393" i="1"/>
  <c r="A6394" i="1"/>
  <c r="B6394" i="1"/>
  <c r="A6395" i="1"/>
  <c r="B6395" i="1"/>
  <c r="A6396" i="1"/>
  <c r="B6396" i="1"/>
  <c r="A6397" i="1"/>
  <c r="B6397" i="1"/>
  <c r="A6398" i="1"/>
  <c r="B6398" i="1"/>
  <c r="A6399" i="1"/>
  <c r="A6400" i="1"/>
  <c r="A6401" i="1"/>
  <c r="B6401" i="1"/>
  <c r="A6402" i="1"/>
  <c r="A6403" i="1"/>
  <c r="B6403" i="1"/>
  <c r="A6404" i="1"/>
  <c r="B6404" i="1"/>
  <c r="A6405" i="1"/>
  <c r="A6406" i="1"/>
  <c r="A6407" i="1"/>
  <c r="B6407" i="1"/>
  <c r="A6408" i="1"/>
  <c r="B6408" i="1"/>
  <c r="A6409" i="1"/>
  <c r="B6409" i="1"/>
  <c r="A6410" i="1"/>
  <c r="B6410" i="1"/>
  <c r="A6411" i="1"/>
  <c r="A6412" i="1"/>
  <c r="B6412" i="1"/>
  <c r="A6413" i="1"/>
  <c r="B6413" i="1"/>
  <c r="A6414" i="1"/>
  <c r="B6414" i="1"/>
  <c r="A6415" i="1"/>
  <c r="B6415" i="1"/>
  <c r="A6416" i="1"/>
  <c r="A6417" i="1"/>
  <c r="A6418" i="1"/>
  <c r="B6418" i="1"/>
  <c r="A6419" i="1"/>
  <c r="B6419" i="1"/>
  <c r="A6420" i="1"/>
  <c r="B6420" i="1"/>
  <c r="A6421" i="1"/>
  <c r="B6421" i="1"/>
  <c r="A6422" i="1"/>
  <c r="B6422" i="1"/>
  <c r="A6423" i="1"/>
  <c r="B6423" i="1"/>
  <c r="A6424" i="1"/>
  <c r="B6424" i="1"/>
  <c r="A6425" i="1"/>
  <c r="A6426" i="1"/>
  <c r="A6427" i="1"/>
  <c r="B6427" i="1"/>
  <c r="A6428" i="1"/>
  <c r="B6428" i="1"/>
  <c r="A6429" i="1"/>
  <c r="B6429" i="1"/>
  <c r="A6430" i="1"/>
  <c r="B6430" i="1"/>
  <c r="A6431" i="1"/>
  <c r="B6431" i="1"/>
  <c r="A6432" i="1"/>
  <c r="B6432" i="1"/>
  <c r="A6433" i="1"/>
  <c r="B6433" i="1"/>
  <c r="A6434" i="1"/>
  <c r="B6434" i="1"/>
  <c r="A6435" i="1"/>
  <c r="B6435" i="1"/>
  <c r="A6436" i="1"/>
  <c r="B6436" i="1"/>
  <c r="A6437" i="1"/>
  <c r="B6437" i="1"/>
  <c r="A6438" i="1"/>
  <c r="B6438" i="1"/>
  <c r="A6439" i="1"/>
  <c r="B6439" i="1"/>
  <c r="A6440" i="1"/>
  <c r="B6440" i="1"/>
  <c r="A6441" i="1"/>
  <c r="B6441" i="1"/>
  <c r="A6442" i="1"/>
  <c r="B6442" i="1"/>
  <c r="A6443" i="1"/>
  <c r="B6443" i="1"/>
  <c r="A6444" i="1"/>
  <c r="A6445" i="1"/>
  <c r="B6445" i="1"/>
  <c r="A6446" i="1"/>
  <c r="A6447" i="1"/>
  <c r="B6447" i="1"/>
  <c r="A6448" i="1"/>
  <c r="A6449" i="1"/>
  <c r="B6449" i="1"/>
  <c r="A6450" i="1"/>
  <c r="B6450" i="1"/>
  <c r="A6451" i="1"/>
  <c r="B6451" i="1"/>
  <c r="A6452" i="1"/>
  <c r="B6452" i="1"/>
  <c r="A6453" i="1"/>
  <c r="B6453" i="1"/>
  <c r="A6454" i="1"/>
  <c r="B6454" i="1"/>
  <c r="A6455" i="1"/>
  <c r="B6455" i="1"/>
  <c r="A6456" i="1"/>
  <c r="B6456" i="1"/>
  <c r="A6457" i="1"/>
  <c r="B6457" i="1"/>
  <c r="A6458" i="1"/>
  <c r="B6458" i="1"/>
  <c r="A6459" i="1"/>
  <c r="A6460" i="1"/>
  <c r="A6461" i="1"/>
  <c r="B6461" i="1"/>
  <c r="A6462" i="1"/>
  <c r="B6462" i="1"/>
  <c r="A6463" i="1"/>
  <c r="B6463" i="1"/>
  <c r="A6464" i="1"/>
  <c r="B6464" i="1"/>
  <c r="A6465" i="1"/>
  <c r="B6465" i="1"/>
  <c r="A6466" i="1"/>
  <c r="B6466" i="1"/>
  <c r="A6467" i="1"/>
  <c r="B6467" i="1"/>
  <c r="A6468" i="1"/>
  <c r="B6468" i="1"/>
  <c r="A6469" i="1"/>
  <c r="B6469" i="1"/>
  <c r="A6470" i="1"/>
  <c r="B6470" i="1"/>
  <c r="A6471" i="1"/>
  <c r="B6471" i="1"/>
  <c r="A6472" i="1"/>
  <c r="B6472" i="1"/>
  <c r="A6473" i="1"/>
  <c r="A6474" i="1"/>
  <c r="A6475" i="1"/>
  <c r="A6476" i="1"/>
  <c r="A6477" i="1"/>
  <c r="A6478" i="1"/>
  <c r="A6479" i="1"/>
  <c r="A6480" i="1"/>
  <c r="B6480" i="1"/>
  <c r="A6481" i="1"/>
  <c r="B6481" i="1"/>
  <c r="A6482" i="1"/>
  <c r="A6483" i="1"/>
  <c r="A6484" i="1"/>
  <c r="B6484" i="1"/>
  <c r="A6485" i="1"/>
  <c r="B6485" i="1"/>
  <c r="A6486" i="1"/>
  <c r="B6486" i="1"/>
  <c r="A6487" i="1"/>
  <c r="A6488" i="1"/>
  <c r="B6488" i="1"/>
  <c r="A6489" i="1"/>
  <c r="A6490" i="1"/>
  <c r="B6490" i="1"/>
  <c r="A6491" i="1"/>
  <c r="B6491" i="1"/>
  <c r="A6492" i="1"/>
  <c r="A6493" i="1"/>
  <c r="A6494" i="1"/>
  <c r="A6495" i="1"/>
  <c r="B6495" i="1"/>
  <c r="A6496" i="1"/>
  <c r="B6496" i="1"/>
  <c r="A6497" i="1"/>
  <c r="B6497" i="1"/>
  <c r="A6498" i="1"/>
  <c r="B6498" i="1"/>
  <c r="A6499" i="1"/>
  <c r="B6499" i="1"/>
  <c r="A6500" i="1"/>
  <c r="B6500" i="1"/>
  <c r="A6501" i="1"/>
  <c r="A6502" i="1"/>
  <c r="B6502" i="1"/>
  <c r="A6503" i="1"/>
  <c r="A6504" i="1"/>
  <c r="B6504" i="1"/>
  <c r="A6505" i="1"/>
  <c r="A6506" i="1"/>
  <c r="A6507" i="1"/>
  <c r="B6507" i="1"/>
  <c r="A6508" i="1"/>
  <c r="B6508" i="1"/>
  <c r="A6509" i="1"/>
  <c r="B6509" i="1"/>
  <c r="A6510" i="1"/>
  <c r="B6510" i="1"/>
  <c r="A6511" i="1"/>
  <c r="B6511" i="1"/>
  <c r="A6512" i="1"/>
  <c r="B6512" i="1"/>
  <c r="A6513" i="1"/>
  <c r="A6514" i="1"/>
  <c r="B6514" i="1"/>
  <c r="A6515" i="1"/>
  <c r="B6515" i="1"/>
  <c r="A6516" i="1"/>
  <c r="B6516" i="1"/>
  <c r="A6517" i="1"/>
  <c r="B6517" i="1"/>
  <c r="A6518" i="1"/>
  <c r="B6518" i="1"/>
  <c r="A6519" i="1"/>
  <c r="A6520" i="1"/>
  <c r="A6521" i="1"/>
  <c r="B6521" i="1"/>
  <c r="A6522" i="1"/>
  <c r="A6523" i="1"/>
  <c r="A6524" i="1"/>
  <c r="A6525" i="1"/>
  <c r="B6525" i="1"/>
  <c r="A6526" i="1"/>
  <c r="B6526" i="1"/>
  <c r="A6527" i="1"/>
  <c r="B6527" i="1"/>
  <c r="A6528" i="1"/>
  <c r="A6529" i="1"/>
  <c r="B6529" i="1"/>
  <c r="A6530" i="1"/>
  <c r="B6530" i="1"/>
  <c r="A6531" i="1"/>
  <c r="A6532" i="1"/>
  <c r="B6532" i="1"/>
  <c r="A6533" i="1"/>
  <c r="B6533" i="1"/>
  <c r="A6534" i="1"/>
  <c r="A6535" i="1"/>
  <c r="B6535" i="1"/>
  <c r="A6536" i="1"/>
  <c r="B6536" i="1"/>
  <c r="A6537" i="1"/>
  <c r="B6537" i="1"/>
  <c r="A6538" i="1"/>
  <c r="B6538" i="1"/>
  <c r="A6539" i="1"/>
  <c r="B6539" i="1"/>
  <c r="A6540" i="1"/>
  <c r="B6540" i="1"/>
  <c r="A6541" i="1"/>
  <c r="B6541" i="1"/>
  <c r="A6542" i="1"/>
  <c r="B6542" i="1"/>
  <c r="A6543" i="1"/>
  <c r="B6543" i="1"/>
  <c r="A6544" i="1"/>
  <c r="B6544" i="1"/>
  <c r="A6545" i="1"/>
  <c r="B6545" i="1"/>
  <c r="A6546" i="1"/>
  <c r="B6546" i="1"/>
  <c r="A6547" i="1"/>
  <c r="B6547" i="1"/>
  <c r="A6548" i="1"/>
  <c r="A6549" i="1"/>
  <c r="B6549" i="1"/>
  <c r="A6550" i="1"/>
  <c r="B6550" i="1"/>
  <c r="A6551" i="1"/>
  <c r="B6551" i="1"/>
  <c r="A6552" i="1"/>
  <c r="A6553" i="1"/>
  <c r="B6553" i="1"/>
  <c r="A6554" i="1"/>
  <c r="B6554" i="1"/>
  <c r="A6555" i="1"/>
  <c r="B6555" i="1"/>
  <c r="A6556" i="1"/>
  <c r="B6556" i="1"/>
  <c r="A6557" i="1"/>
  <c r="B6557" i="1"/>
  <c r="A6558" i="1"/>
  <c r="B6558" i="1"/>
  <c r="A6559" i="1"/>
  <c r="B6559" i="1"/>
  <c r="A6560" i="1"/>
  <c r="B6560" i="1"/>
  <c r="A6561" i="1"/>
  <c r="B6561" i="1"/>
  <c r="A6562" i="1"/>
  <c r="B6562" i="1"/>
  <c r="A6563" i="1"/>
  <c r="B6563" i="1"/>
  <c r="A6564" i="1"/>
  <c r="B6564" i="1"/>
  <c r="A6565" i="1"/>
  <c r="A6566" i="1"/>
  <c r="A6567" i="1"/>
  <c r="B6567" i="1"/>
  <c r="A6568" i="1"/>
  <c r="B6568" i="1"/>
  <c r="A6569" i="1"/>
  <c r="A6570" i="1"/>
  <c r="B6570" i="1"/>
  <c r="A6571" i="1"/>
  <c r="A6572" i="1"/>
  <c r="A6573" i="1"/>
  <c r="A6574" i="1"/>
  <c r="B6574" i="1"/>
  <c r="A6575" i="1"/>
  <c r="A6576" i="1"/>
  <c r="B6576" i="1"/>
  <c r="A6577" i="1"/>
  <c r="B6577" i="1"/>
  <c r="A6578" i="1"/>
  <c r="B6578" i="1"/>
  <c r="A6579" i="1"/>
  <c r="A6580" i="1"/>
  <c r="B6580" i="1"/>
  <c r="A6581" i="1"/>
  <c r="A6582" i="1"/>
  <c r="B6582" i="1"/>
  <c r="A6583" i="1"/>
  <c r="B6583" i="1"/>
  <c r="A6584" i="1"/>
  <c r="B6584" i="1"/>
  <c r="A6585" i="1"/>
  <c r="B6585" i="1"/>
  <c r="A6586" i="1"/>
  <c r="B6586" i="1"/>
  <c r="A6587" i="1"/>
  <c r="B6587" i="1"/>
  <c r="A6588" i="1"/>
  <c r="A6589" i="1"/>
  <c r="A6590" i="1"/>
  <c r="A6591" i="1"/>
  <c r="A6592" i="1"/>
  <c r="B6592" i="1"/>
  <c r="A6593" i="1"/>
  <c r="B6593" i="1"/>
  <c r="A6594" i="1"/>
  <c r="B6594" i="1"/>
  <c r="A6595" i="1"/>
  <c r="B6595" i="1"/>
  <c r="A6596" i="1"/>
  <c r="B6596" i="1"/>
  <c r="A6597" i="1"/>
  <c r="B6597" i="1"/>
  <c r="A6598" i="1"/>
  <c r="B6598" i="1"/>
  <c r="A6599" i="1"/>
  <c r="A6600" i="1"/>
  <c r="B6600" i="1"/>
  <c r="A6601" i="1"/>
  <c r="B6601" i="1"/>
  <c r="A6602" i="1"/>
  <c r="A6603" i="1"/>
  <c r="B6603" i="1"/>
  <c r="A6604" i="1"/>
  <c r="B6604" i="1"/>
  <c r="A6605" i="1"/>
  <c r="B6605" i="1"/>
  <c r="A6606" i="1"/>
  <c r="B6606" i="1"/>
  <c r="A6607" i="1"/>
  <c r="B6607" i="1"/>
  <c r="A6608" i="1"/>
  <c r="B6608" i="1"/>
  <c r="A6609" i="1"/>
  <c r="B6609" i="1"/>
  <c r="A6610" i="1"/>
  <c r="B6610" i="1"/>
  <c r="A6611" i="1"/>
  <c r="A6612" i="1"/>
  <c r="B6612" i="1"/>
  <c r="A6613" i="1"/>
  <c r="A6614" i="1"/>
  <c r="B6614" i="1"/>
  <c r="A6615" i="1"/>
  <c r="B6615" i="1"/>
  <c r="A6616" i="1"/>
  <c r="A6617" i="1"/>
  <c r="B6617" i="1"/>
  <c r="A6618" i="1"/>
  <c r="B6618" i="1"/>
  <c r="A6619" i="1"/>
  <c r="B6619" i="1"/>
  <c r="A6620" i="1"/>
  <c r="B6620" i="1"/>
  <c r="A6621" i="1"/>
  <c r="B6621" i="1"/>
  <c r="A6622" i="1"/>
  <c r="B6622" i="1"/>
  <c r="A6623" i="1"/>
  <c r="A6624" i="1"/>
  <c r="A6625" i="1"/>
  <c r="B6625" i="1"/>
  <c r="A6626" i="1"/>
  <c r="B6626" i="1"/>
  <c r="A6627" i="1"/>
  <c r="B6627" i="1"/>
  <c r="A6628" i="1"/>
  <c r="B6628" i="1"/>
  <c r="A6629" i="1"/>
  <c r="A6630" i="1"/>
  <c r="B6630" i="1"/>
  <c r="A6631" i="1"/>
  <c r="B6631" i="1"/>
  <c r="A6632" i="1"/>
  <c r="B6632" i="1"/>
  <c r="A6633" i="1"/>
  <c r="B6633" i="1"/>
  <c r="A6634" i="1"/>
  <c r="B6634" i="1"/>
  <c r="A6635" i="1"/>
  <c r="A6636" i="1"/>
  <c r="A6637" i="1"/>
  <c r="B6637" i="1"/>
  <c r="A6638" i="1"/>
  <c r="A6639" i="1"/>
  <c r="A6640" i="1"/>
  <c r="B6640" i="1"/>
  <c r="A6641" i="1"/>
  <c r="A6642" i="1"/>
  <c r="B6642" i="1"/>
  <c r="A6643" i="1"/>
  <c r="B6643" i="1"/>
  <c r="A6644" i="1"/>
  <c r="B6644" i="1"/>
  <c r="A6645" i="1"/>
  <c r="B6645" i="1"/>
  <c r="A6646" i="1"/>
  <c r="B6646" i="1"/>
  <c r="A6647" i="1"/>
  <c r="B6647" i="1"/>
  <c r="A6648" i="1"/>
  <c r="A6649" i="1"/>
  <c r="A6650" i="1"/>
  <c r="A6651" i="1"/>
  <c r="B6651" i="1"/>
  <c r="A6652" i="1"/>
  <c r="A6653" i="1"/>
  <c r="B6653" i="1"/>
  <c r="A6654" i="1"/>
  <c r="B6654" i="1"/>
  <c r="A6655" i="1"/>
  <c r="B6655" i="1"/>
  <c r="A6656" i="1"/>
  <c r="B6656" i="1"/>
  <c r="A6657" i="1"/>
  <c r="B6657" i="1"/>
  <c r="A6658" i="1"/>
  <c r="A6659" i="1"/>
  <c r="B6659" i="1"/>
  <c r="A6660" i="1"/>
  <c r="B6660" i="1"/>
  <c r="A6661" i="1"/>
  <c r="B6661" i="1"/>
  <c r="A6662" i="1"/>
  <c r="B6662" i="1"/>
  <c r="A6663" i="1"/>
  <c r="B6663" i="1"/>
  <c r="A6664" i="1"/>
  <c r="B6664" i="1"/>
  <c r="A6665" i="1"/>
  <c r="B6665" i="1"/>
  <c r="A6666" i="1"/>
  <c r="B6666" i="1"/>
  <c r="A6667" i="1"/>
  <c r="A6668" i="1"/>
  <c r="B6668" i="1"/>
  <c r="A6669" i="1"/>
  <c r="B6669" i="1"/>
  <c r="A6670" i="1"/>
  <c r="B6670" i="1"/>
  <c r="A6671" i="1"/>
  <c r="B6671" i="1"/>
  <c r="A6672" i="1"/>
  <c r="B6672" i="1"/>
  <c r="A6673" i="1"/>
  <c r="B6673" i="1"/>
  <c r="A6674" i="1"/>
  <c r="B6674" i="1"/>
  <c r="A6675" i="1"/>
  <c r="B6675" i="1"/>
  <c r="A6676" i="1"/>
  <c r="B6676" i="1"/>
  <c r="A6677" i="1"/>
  <c r="B6677" i="1"/>
  <c r="A6678" i="1"/>
  <c r="B6678" i="1"/>
  <c r="A6679" i="1"/>
  <c r="A6680" i="1"/>
  <c r="B6680" i="1"/>
  <c r="A6681" i="1"/>
  <c r="A6682" i="1"/>
  <c r="B6682" i="1"/>
  <c r="A6683" i="1"/>
  <c r="B6683" i="1"/>
  <c r="A6684" i="1"/>
  <c r="B6684" i="1"/>
  <c r="A6685" i="1"/>
  <c r="B6685" i="1"/>
  <c r="A6686" i="1"/>
  <c r="B6686" i="1"/>
  <c r="A6687" i="1"/>
  <c r="B6687" i="1"/>
  <c r="A6688" i="1"/>
  <c r="B6688" i="1"/>
  <c r="A6689" i="1"/>
  <c r="B6689" i="1"/>
  <c r="A6690" i="1"/>
  <c r="B6690" i="1"/>
  <c r="A6691" i="1"/>
  <c r="A6692" i="1"/>
  <c r="B6692" i="1"/>
  <c r="A6693" i="1"/>
  <c r="A6694" i="1"/>
  <c r="B6694" i="1"/>
  <c r="A6695" i="1"/>
  <c r="B6695" i="1"/>
  <c r="A6696" i="1"/>
  <c r="B6696" i="1"/>
  <c r="A6697" i="1"/>
  <c r="B6697" i="1"/>
  <c r="A6698" i="1"/>
  <c r="B6698" i="1"/>
  <c r="A6699" i="1"/>
  <c r="B6699" i="1"/>
  <c r="A6700" i="1"/>
  <c r="B6700" i="1"/>
  <c r="A6701" i="1"/>
  <c r="B6701" i="1"/>
  <c r="A6702" i="1"/>
  <c r="B6702" i="1"/>
  <c r="A6703" i="1"/>
  <c r="B6703" i="1"/>
  <c r="A6704" i="1"/>
  <c r="B6704" i="1"/>
  <c r="A6705" i="1"/>
  <c r="B6705" i="1"/>
  <c r="A6706" i="1"/>
  <c r="B6706" i="1"/>
  <c r="A6707" i="1"/>
  <c r="B6707" i="1"/>
  <c r="A6708" i="1"/>
  <c r="B6708" i="1"/>
  <c r="A6709" i="1"/>
  <c r="B6709" i="1"/>
  <c r="A6710" i="1"/>
  <c r="B6710" i="1"/>
  <c r="A6711" i="1"/>
  <c r="A6712" i="1"/>
  <c r="B6712" i="1"/>
  <c r="A6713" i="1"/>
  <c r="B6713" i="1"/>
  <c r="A6714" i="1"/>
  <c r="B6714" i="1"/>
  <c r="A6715" i="1"/>
  <c r="B6715" i="1"/>
  <c r="A6716" i="1"/>
  <c r="B6716" i="1"/>
  <c r="A6717" i="1"/>
  <c r="B6717" i="1"/>
  <c r="A6718" i="1"/>
  <c r="B6718" i="1"/>
  <c r="A6719" i="1"/>
  <c r="B6719" i="1"/>
  <c r="A6720" i="1"/>
  <c r="B6720" i="1"/>
  <c r="A6721" i="1"/>
  <c r="B6721" i="1"/>
  <c r="A6722" i="1"/>
  <c r="B6722" i="1"/>
  <c r="A6723" i="1"/>
  <c r="B6723" i="1"/>
  <c r="A6724" i="1"/>
  <c r="B6724" i="1"/>
  <c r="A6725" i="1"/>
  <c r="B6725" i="1"/>
  <c r="A6726" i="1"/>
  <c r="B6726" i="1"/>
  <c r="A6727" i="1"/>
  <c r="A6728" i="1"/>
  <c r="A6729" i="1"/>
  <c r="B6729" i="1"/>
  <c r="A6730" i="1"/>
  <c r="B6730" i="1"/>
  <c r="A6731" i="1"/>
  <c r="B6731" i="1"/>
  <c r="A6732" i="1"/>
  <c r="A6733" i="1"/>
  <c r="B6733" i="1"/>
  <c r="A6734" i="1"/>
  <c r="B6734" i="1"/>
  <c r="A6735" i="1"/>
  <c r="B6735" i="1"/>
  <c r="A6736" i="1"/>
  <c r="B6736" i="1"/>
  <c r="A6737" i="1"/>
  <c r="A6738" i="1"/>
  <c r="B6738" i="1"/>
  <c r="A6739" i="1"/>
  <c r="B6739" i="1"/>
  <c r="A6740" i="1"/>
  <c r="B6740" i="1"/>
  <c r="A6741" i="1"/>
  <c r="B6741" i="1"/>
  <c r="A6742" i="1"/>
  <c r="A6743" i="1"/>
  <c r="B6743" i="1"/>
  <c r="A6744" i="1"/>
  <c r="B6744" i="1"/>
  <c r="A6745" i="1"/>
  <c r="B6745" i="1"/>
  <c r="A6746" i="1"/>
  <c r="B6746" i="1"/>
  <c r="A6747" i="1"/>
  <c r="B6747" i="1"/>
  <c r="A6748" i="1"/>
  <c r="B6748" i="1"/>
  <c r="A6749" i="1"/>
  <c r="B6749" i="1"/>
  <c r="A6750" i="1"/>
  <c r="B6750" i="1"/>
  <c r="A6751" i="1"/>
  <c r="B6751" i="1"/>
  <c r="A6752" i="1"/>
  <c r="B6752" i="1"/>
  <c r="A6753" i="1"/>
  <c r="B6753" i="1"/>
  <c r="A6754" i="1"/>
  <c r="B6754" i="1"/>
  <c r="A6755" i="1"/>
  <c r="B6755" i="1"/>
  <c r="A6756" i="1"/>
  <c r="B6756" i="1"/>
  <c r="A6757" i="1"/>
  <c r="B6757" i="1"/>
  <c r="A6758" i="1"/>
  <c r="B6758" i="1"/>
  <c r="A6759" i="1"/>
  <c r="B6759" i="1"/>
  <c r="A6760" i="1"/>
  <c r="B6760" i="1"/>
  <c r="A6761" i="1"/>
  <c r="B6761" i="1"/>
  <c r="A6762" i="1"/>
  <c r="B6762" i="1"/>
  <c r="A6763" i="1"/>
  <c r="B6763" i="1"/>
  <c r="A6764" i="1"/>
  <c r="B6764" i="1"/>
  <c r="A6765" i="1"/>
  <c r="B6765" i="1"/>
  <c r="A6766" i="1"/>
  <c r="B6766" i="1"/>
  <c r="A6767" i="1"/>
  <c r="B6767" i="1"/>
  <c r="A6768" i="1"/>
  <c r="B6768" i="1"/>
  <c r="A6769" i="1"/>
  <c r="A6770" i="1"/>
  <c r="A6771" i="1"/>
  <c r="A6772" i="1"/>
  <c r="A6773" i="1"/>
  <c r="A6774" i="1"/>
  <c r="A6775" i="1"/>
  <c r="B6775" i="1"/>
  <c r="A6776" i="1"/>
  <c r="A6777" i="1"/>
  <c r="A6778" i="1"/>
  <c r="B6778" i="1"/>
  <c r="A6779" i="1"/>
  <c r="B6779" i="1"/>
  <c r="A6780" i="1"/>
  <c r="A6781" i="1"/>
  <c r="B6781" i="1"/>
  <c r="A6782" i="1"/>
  <c r="B6782" i="1"/>
  <c r="A6783" i="1"/>
  <c r="B6783" i="1"/>
  <c r="A6784" i="1"/>
  <c r="B6784" i="1"/>
  <c r="A6785" i="1"/>
  <c r="A6786" i="1"/>
  <c r="A6787" i="1"/>
  <c r="A6788" i="1"/>
  <c r="B6788" i="1"/>
  <c r="A6789" i="1"/>
  <c r="A6790" i="1"/>
  <c r="B6790" i="1"/>
  <c r="A6791" i="1"/>
  <c r="B6791" i="1"/>
  <c r="A6792" i="1"/>
  <c r="B6792" i="1"/>
  <c r="A6793" i="1"/>
  <c r="B6793" i="1"/>
  <c r="A6794" i="1"/>
  <c r="B6794" i="1"/>
  <c r="A6795" i="1"/>
  <c r="A6796" i="1"/>
  <c r="B6796" i="1"/>
  <c r="A6797" i="1"/>
  <c r="A6798" i="1"/>
  <c r="B6798" i="1"/>
  <c r="A6799" i="1"/>
  <c r="A6800" i="1"/>
  <c r="B6800" i="1"/>
  <c r="A6801" i="1"/>
  <c r="B6801" i="1"/>
  <c r="A6802" i="1"/>
  <c r="B6802" i="1"/>
  <c r="A6803" i="1"/>
  <c r="B6803" i="1"/>
  <c r="A6804" i="1"/>
  <c r="B6804" i="1"/>
  <c r="A6805" i="1"/>
  <c r="B6805" i="1"/>
  <c r="A6806" i="1"/>
  <c r="B6806" i="1"/>
  <c r="A6807" i="1"/>
  <c r="B6807" i="1"/>
  <c r="A6808" i="1"/>
  <c r="B6808" i="1"/>
  <c r="A6809" i="1"/>
  <c r="B6809" i="1"/>
  <c r="A6810" i="1"/>
  <c r="B6810" i="1"/>
  <c r="A6811" i="1"/>
  <c r="B6811" i="1"/>
  <c r="A6812" i="1"/>
  <c r="B6812" i="1"/>
  <c r="A6813" i="1"/>
  <c r="A6814" i="1"/>
  <c r="B6814" i="1"/>
  <c r="A6815" i="1"/>
  <c r="B6815" i="1"/>
  <c r="A6816" i="1"/>
  <c r="B6816" i="1"/>
  <c r="A6817" i="1"/>
  <c r="B6817" i="1"/>
  <c r="A6818" i="1"/>
  <c r="B6818" i="1"/>
  <c r="A6819" i="1"/>
  <c r="B6819" i="1"/>
  <c r="A6820" i="1"/>
  <c r="A6821" i="1"/>
  <c r="A6822" i="1"/>
  <c r="B6822" i="1"/>
  <c r="A6823" i="1"/>
  <c r="B6823" i="1"/>
  <c r="A6824" i="1"/>
  <c r="B6824" i="1"/>
  <c r="A6825" i="1"/>
  <c r="B6825" i="1"/>
  <c r="A6826" i="1"/>
  <c r="B6826" i="1"/>
  <c r="A6827" i="1"/>
  <c r="B6827" i="1"/>
  <c r="A6828" i="1"/>
  <c r="B6828" i="1"/>
  <c r="A6829" i="1"/>
  <c r="B6829" i="1"/>
  <c r="A6830" i="1"/>
  <c r="B6830" i="1"/>
  <c r="A6831" i="1"/>
  <c r="B6831" i="1"/>
  <c r="A6832" i="1"/>
  <c r="A6833" i="1"/>
  <c r="B6833" i="1"/>
  <c r="A6834" i="1"/>
  <c r="B6834" i="1"/>
  <c r="A6835" i="1"/>
  <c r="A6836" i="1"/>
  <c r="B6836" i="1"/>
  <c r="A6837" i="1"/>
  <c r="A6838" i="1"/>
  <c r="A6839" i="1"/>
  <c r="B6839" i="1"/>
  <c r="A6840" i="1"/>
  <c r="B6840" i="1"/>
  <c r="A6841" i="1"/>
  <c r="A6842" i="1"/>
  <c r="A6843" i="1"/>
  <c r="A6844" i="1"/>
  <c r="A6845" i="1"/>
  <c r="B6845" i="1"/>
  <c r="A6846" i="1"/>
  <c r="A6847" i="1"/>
  <c r="A6848" i="1"/>
  <c r="B6848" i="1"/>
  <c r="A6849" i="1"/>
  <c r="B6849" i="1"/>
  <c r="A6850" i="1"/>
  <c r="B6850" i="1"/>
  <c r="A6851" i="1"/>
  <c r="B6851" i="1"/>
  <c r="A6852" i="1"/>
  <c r="B6852" i="1"/>
  <c r="A6853" i="1"/>
  <c r="B6853" i="1"/>
  <c r="A6854" i="1"/>
  <c r="A6855" i="1"/>
  <c r="A6856" i="1"/>
  <c r="B6856" i="1"/>
  <c r="A6857" i="1"/>
  <c r="B6857" i="1"/>
  <c r="A6858" i="1"/>
  <c r="B6858" i="1"/>
  <c r="A6859" i="1"/>
  <c r="B6859" i="1"/>
  <c r="A6860" i="1"/>
  <c r="B6860" i="1"/>
  <c r="A6861" i="1"/>
  <c r="B6861" i="1"/>
  <c r="A6862" i="1"/>
  <c r="B6862" i="1"/>
  <c r="A6863" i="1"/>
  <c r="B6863" i="1"/>
  <c r="A6864" i="1"/>
  <c r="B6864" i="1"/>
  <c r="A6865" i="1"/>
  <c r="B6865" i="1"/>
  <c r="A6866" i="1"/>
  <c r="A6867" i="1"/>
  <c r="A6868" i="1"/>
  <c r="B6868" i="1"/>
  <c r="A6869" i="1"/>
  <c r="B6869" i="1"/>
  <c r="A6870" i="1"/>
  <c r="B6870" i="1"/>
  <c r="A6871" i="1"/>
  <c r="B6871" i="1"/>
  <c r="A6872" i="1"/>
  <c r="B6872" i="1"/>
  <c r="A6873" i="1"/>
  <c r="B6873" i="1"/>
  <c r="A6874" i="1"/>
  <c r="B6874" i="1"/>
  <c r="A6875" i="1"/>
  <c r="A6876" i="1"/>
  <c r="B6876" i="1"/>
  <c r="A6877" i="1"/>
  <c r="B6877" i="1"/>
  <c r="A6878" i="1"/>
  <c r="A6879" i="1"/>
  <c r="A6880" i="1"/>
  <c r="B6880" i="1"/>
  <c r="A6881" i="1"/>
  <c r="B6881" i="1"/>
  <c r="A6882" i="1"/>
  <c r="B6882" i="1"/>
  <c r="A6883" i="1"/>
  <c r="A6884" i="1"/>
  <c r="B6884" i="1"/>
  <c r="A6885" i="1"/>
  <c r="B6885" i="1"/>
  <c r="A6886" i="1"/>
  <c r="B6886" i="1"/>
  <c r="A6887" i="1"/>
  <c r="B6887" i="1"/>
  <c r="A6888" i="1"/>
  <c r="B6888" i="1"/>
  <c r="A6889" i="1"/>
  <c r="B6889" i="1"/>
  <c r="A6890" i="1"/>
  <c r="A6891" i="1"/>
  <c r="A6892" i="1"/>
  <c r="A6893" i="1"/>
  <c r="A6894" i="1"/>
  <c r="A6895" i="1"/>
  <c r="B6895" i="1"/>
  <c r="A6896" i="1"/>
  <c r="A6897" i="1"/>
  <c r="B6897" i="1"/>
  <c r="A6898" i="1"/>
  <c r="B6898" i="1"/>
  <c r="A6899" i="1"/>
  <c r="A6900" i="1"/>
  <c r="B6900" i="1"/>
  <c r="A6901" i="1"/>
  <c r="B6901" i="1"/>
  <c r="A6902" i="1"/>
  <c r="B6902" i="1"/>
  <c r="A6903" i="1"/>
  <c r="A6904" i="1"/>
  <c r="B6904" i="1"/>
  <c r="A6905" i="1"/>
  <c r="B6905" i="1"/>
  <c r="A6906" i="1"/>
  <c r="B6906" i="1"/>
  <c r="A6907" i="1"/>
  <c r="B6907" i="1"/>
  <c r="A6908" i="1"/>
  <c r="B6908" i="1"/>
  <c r="A6909" i="1"/>
  <c r="B6909" i="1"/>
  <c r="A6910" i="1"/>
  <c r="A6911" i="1"/>
  <c r="B6911" i="1"/>
  <c r="A6912" i="1"/>
  <c r="A6913" i="1"/>
  <c r="A6914" i="1"/>
  <c r="A6915" i="1"/>
  <c r="A6916" i="1"/>
  <c r="A6917" i="1"/>
  <c r="B6917" i="1"/>
  <c r="A6918" i="1"/>
  <c r="A6919" i="1"/>
  <c r="B6919" i="1"/>
  <c r="A6920" i="1"/>
  <c r="A6921" i="1"/>
  <c r="B6921" i="1"/>
  <c r="A6922" i="1"/>
  <c r="B6922" i="1"/>
  <c r="A6923" i="1"/>
  <c r="A6924" i="1"/>
  <c r="A6925" i="1"/>
  <c r="B6925" i="1"/>
  <c r="A6926" i="1"/>
  <c r="B6926" i="1"/>
  <c r="A6927" i="1"/>
  <c r="A6928" i="1"/>
  <c r="B6928" i="1"/>
  <c r="A6929" i="1"/>
  <c r="B6929" i="1"/>
  <c r="A6930" i="1"/>
  <c r="B6930" i="1"/>
  <c r="A6931" i="1"/>
  <c r="B6931" i="1"/>
  <c r="A6932" i="1"/>
  <c r="B6932" i="1"/>
  <c r="A6933" i="1"/>
  <c r="A6934" i="1"/>
  <c r="B6934" i="1"/>
  <c r="A6935" i="1"/>
  <c r="B6935" i="1"/>
  <c r="A6936" i="1"/>
  <c r="B6936" i="1"/>
  <c r="A6937" i="1"/>
  <c r="A6938" i="1"/>
  <c r="A6939" i="1"/>
  <c r="B6939" i="1"/>
  <c r="A6940" i="1"/>
  <c r="A6941" i="1"/>
  <c r="A6942" i="1"/>
  <c r="A6943" i="1"/>
  <c r="B6943" i="1"/>
  <c r="A6944" i="1"/>
  <c r="A6945" i="1"/>
  <c r="B6945" i="1"/>
  <c r="A6946" i="1"/>
  <c r="B6946" i="1"/>
  <c r="A6947" i="1"/>
  <c r="B6947" i="1"/>
  <c r="A6948" i="1"/>
  <c r="B6948" i="1"/>
  <c r="A6949" i="1"/>
  <c r="B6949" i="1"/>
  <c r="A6950" i="1"/>
  <c r="B6950" i="1"/>
  <c r="A6951" i="1"/>
  <c r="B6951" i="1"/>
  <c r="A6952" i="1"/>
  <c r="A6953" i="1"/>
  <c r="B6953" i="1"/>
  <c r="A6954" i="1"/>
  <c r="B6954" i="1"/>
  <c r="A6955" i="1"/>
  <c r="A6956" i="1"/>
  <c r="B6956" i="1"/>
  <c r="A6957" i="1"/>
  <c r="B6957" i="1"/>
  <c r="A6958" i="1"/>
  <c r="B6958" i="1"/>
  <c r="A6959" i="1"/>
  <c r="B6959" i="1"/>
  <c r="A6960" i="1"/>
  <c r="A6961" i="1"/>
  <c r="B6961" i="1"/>
  <c r="A6962" i="1"/>
  <c r="B6962" i="1"/>
  <c r="A6963" i="1"/>
  <c r="A6964" i="1"/>
  <c r="B6964" i="1"/>
  <c r="A6965" i="1"/>
  <c r="B6965" i="1"/>
  <c r="A6966" i="1"/>
  <c r="B6966" i="1"/>
  <c r="A6967" i="1"/>
  <c r="B6967" i="1"/>
  <c r="A6968" i="1"/>
  <c r="A6969" i="1"/>
  <c r="A6970" i="1"/>
  <c r="A6971" i="1"/>
  <c r="B6971" i="1"/>
  <c r="A6972" i="1"/>
  <c r="B6972" i="1"/>
  <c r="A6973" i="1"/>
  <c r="B6973" i="1"/>
  <c r="A6974" i="1"/>
  <c r="A6975" i="1"/>
  <c r="A6976" i="1"/>
  <c r="B6976" i="1"/>
  <c r="A6977" i="1"/>
  <c r="B6977" i="1"/>
  <c r="A6978" i="1"/>
  <c r="B6978" i="1"/>
  <c r="A6979" i="1"/>
  <c r="B6979" i="1"/>
  <c r="A6980" i="1"/>
  <c r="B6980" i="1"/>
  <c r="A6981" i="1"/>
  <c r="B6981" i="1"/>
  <c r="A6982" i="1"/>
  <c r="A6983" i="1"/>
  <c r="B6983" i="1"/>
  <c r="A6984" i="1"/>
  <c r="B6984" i="1"/>
  <c r="A6985" i="1"/>
  <c r="B6985" i="1"/>
  <c r="A6986" i="1"/>
  <c r="A6987" i="1"/>
  <c r="B6987" i="1"/>
  <c r="A6988" i="1"/>
  <c r="B6988" i="1"/>
  <c r="A6989" i="1"/>
  <c r="B6989" i="1"/>
  <c r="A6990" i="1"/>
  <c r="B6990" i="1"/>
  <c r="A6991" i="1"/>
  <c r="A6992" i="1"/>
  <c r="B6992" i="1"/>
  <c r="A6993" i="1"/>
  <c r="B6993" i="1"/>
  <c r="A6994" i="1"/>
  <c r="B6994" i="1"/>
  <c r="A6995" i="1"/>
  <c r="B6995" i="1"/>
  <c r="A6996" i="1"/>
  <c r="B6996" i="1"/>
  <c r="A6997" i="1"/>
  <c r="B6997" i="1"/>
  <c r="A6998" i="1"/>
  <c r="B6998" i="1"/>
  <c r="A6999" i="1"/>
  <c r="B6999" i="1"/>
  <c r="A7000" i="1"/>
  <c r="B7000" i="1"/>
  <c r="A7001" i="1"/>
  <c r="B7001" i="1"/>
  <c r="A7002" i="1"/>
  <c r="B7002" i="1"/>
  <c r="A7003" i="1"/>
  <c r="A7004" i="1"/>
  <c r="B7004" i="1"/>
  <c r="A7005" i="1"/>
  <c r="B7005" i="1"/>
  <c r="A7006" i="1"/>
  <c r="B7006" i="1"/>
  <c r="A7007" i="1"/>
  <c r="B7007" i="1"/>
  <c r="A7008" i="1"/>
  <c r="B7008" i="1"/>
  <c r="A7009" i="1"/>
  <c r="B7009" i="1"/>
  <c r="A7010" i="1"/>
  <c r="B7010" i="1"/>
  <c r="A7011" i="1"/>
  <c r="B7011" i="1"/>
  <c r="A7012" i="1"/>
  <c r="B7012" i="1"/>
  <c r="A7013" i="1"/>
  <c r="B7013" i="1"/>
  <c r="A7014" i="1"/>
  <c r="B7014" i="1"/>
  <c r="A7015" i="1"/>
  <c r="B7015" i="1"/>
  <c r="A7016" i="1"/>
  <c r="A7017" i="1"/>
  <c r="B7017" i="1"/>
  <c r="A7018" i="1"/>
  <c r="B7018" i="1"/>
  <c r="A7019" i="1"/>
  <c r="B7019" i="1"/>
  <c r="A7020" i="1"/>
  <c r="B7020" i="1"/>
  <c r="A7021" i="1"/>
  <c r="B7021" i="1"/>
  <c r="A7022" i="1"/>
  <c r="B7022" i="1"/>
  <c r="A7023" i="1"/>
  <c r="B7023" i="1"/>
  <c r="A7024" i="1"/>
  <c r="B7024" i="1"/>
  <c r="A7025" i="1"/>
  <c r="A7026" i="1"/>
  <c r="B7026" i="1"/>
  <c r="A7027" i="1"/>
  <c r="B7027" i="1"/>
  <c r="A7028" i="1"/>
  <c r="B7028" i="1"/>
  <c r="A7029" i="1"/>
  <c r="B7029" i="1"/>
  <c r="A7030" i="1"/>
  <c r="B7030" i="1"/>
  <c r="A7031" i="1"/>
  <c r="A7032" i="1"/>
  <c r="B7032" i="1"/>
  <c r="A7033" i="1"/>
  <c r="B7033" i="1"/>
  <c r="A7034" i="1"/>
  <c r="B7034" i="1"/>
  <c r="A7035" i="1"/>
  <c r="B7035" i="1"/>
  <c r="A7036" i="1"/>
  <c r="B7036" i="1"/>
  <c r="A7037" i="1"/>
  <c r="B7037" i="1"/>
  <c r="A7038" i="1"/>
  <c r="A7039" i="1"/>
  <c r="A7040" i="1"/>
  <c r="B7040" i="1"/>
  <c r="A7041" i="1"/>
  <c r="B7041" i="1"/>
  <c r="A7042" i="1"/>
  <c r="B7042" i="1"/>
  <c r="A7043" i="1"/>
  <c r="B7043" i="1"/>
  <c r="A7044" i="1"/>
  <c r="B7044" i="1"/>
  <c r="A7045" i="1"/>
  <c r="B7045" i="1"/>
  <c r="A7046" i="1"/>
  <c r="A7047" i="1"/>
  <c r="A7048" i="1"/>
  <c r="B7048" i="1"/>
  <c r="A7049" i="1"/>
  <c r="B7049" i="1"/>
  <c r="A7050" i="1"/>
  <c r="B7050" i="1"/>
  <c r="A7051" i="1"/>
  <c r="B7051" i="1"/>
  <c r="A7052" i="1"/>
  <c r="B7052" i="1"/>
  <c r="A7053" i="1"/>
  <c r="B7053" i="1"/>
  <c r="A7054" i="1"/>
  <c r="A7055" i="1"/>
  <c r="B7055" i="1"/>
  <c r="A7056" i="1"/>
  <c r="B7056" i="1"/>
  <c r="A7057" i="1"/>
  <c r="B7057" i="1"/>
  <c r="A7058" i="1"/>
  <c r="A7059" i="1"/>
  <c r="B7059" i="1"/>
  <c r="A7060" i="1"/>
  <c r="A7061" i="1"/>
  <c r="B7061" i="1"/>
  <c r="A7062" i="1"/>
  <c r="B7062" i="1"/>
  <c r="A7063" i="1"/>
  <c r="B7063" i="1"/>
  <c r="A7064" i="1"/>
  <c r="A7065" i="1"/>
  <c r="B7065" i="1"/>
  <c r="A7066" i="1"/>
  <c r="B7066" i="1"/>
  <c r="A7067" i="1"/>
  <c r="B7067" i="1"/>
  <c r="A7068" i="1"/>
  <c r="B7068" i="1"/>
  <c r="A7069" i="1"/>
  <c r="B7069" i="1"/>
  <c r="A7070" i="1"/>
  <c r="B7070" i="1"/>
  <c r="A7071" i="1"/>
  <c r="B7071" i="1"/>
  <c r="A7072" i="1"/>
  <c r="A7073" i="1"/>
  <c r="B7073" i="1"/>
  <c r="A7074" i="1"/>
  <c r="B7074" i="1"/>
  <c r="A7075" i="1"/>
  <c r="B7075" i="1"/>
  <c r="A7076" i="1"/>
  <c r="B7076" i="1"/>
  <c r="A7077" i="1"/>
  <c r="A7078" i="1"/>
  <c r="B7078" i="1"/>
  <c r="A7079" i="1"/>
  <c r="B7079" i="1"/>
  <c r="A7080" i="1"/>
  <c r="B7080" i="1"/>
  <c r="A7081" i="1"/>
  <c r="B7081" i="1"/>
  <c r="A7082" i="1"/>
  <c r="B7082" i="1"/>
  <c r="A7083" i="1"/>
  <c r="A7084" i="1"/>
  <c r="B7084" i="1"/>
  <c r="A7085" i="1"/>
  <c r="B7085" i="1"/>
  <c r="A7086" i="1"/>
  <c r="B7086" i="1"/>
  <c r="A7087" i="1"/>
  <c r="A7088" i="1"/>
  <c r="B7088" i="1"/>
  <c r="A7089" i="1"/>
  <c r="B7089" i="1"/>
  <c r="A7090" i="1"/>
  <c r="A7091" i="1"/>
  <c r="B7091" i="1"/>
  <c r="A7092" i="1"/>
  <c r="B7092" i="1"/>
  <c r="A7093" i="1"/>
  <c r="B7093" i="1"/>
  <c r="A7094" i="1"/>
  <c r="B7094" i="1"/>
  <c r="A7095" i="1"/>
  <c r="B7095" i="1"/>
  <c r="A7096" i="1"/>
  <c r="B7096" i="1"/>
  <c r="A7097" i="1"/>
  <c r="A7098" i="1"/>
  <c r="B7098" i="1"/>
  <c r="A7099" i="1"/>
  <c r="A7100" i="1"/>
  <c r="B7100" i="1"/>
  <c r="A7101" i="1"/>
  <c r="B7101" i="1"/>
  <c r="A7102" i="1"/>
  <c r="A7103" i="1"/>
  <c r="B7103" i="1"/>
  <c r="A7104" i="1"/>
  <c r="B7104" i="1"/>
  <c r="A7105" i="1"/>
  <c r="B7105" i="1"/>
  <c r="A7106" i="1"/>
  <c r="B7106" i="1"/>
  <c r="A7107" i="1"/>
  <c r="B7107" i="1"/>
  <c r="A7108" i="1"/>
  <c r="B7108" i="1"/>
  <c r="A7109" i="1"/>
  <c r="B7109" i="1"/>
  <c r="A7110" i="1"/>
  <c r="B7110" i="1"/>
  <c r="A7111" i="1"/>
  <c r="B7111" i="1"/>
  <c r="A7112" i="1"/>
  <c r="B7112" i="1"/>
  <c r="A7113" i="1"/>
  <c r="B7113" i="1"/>
  <c r="A7114" i="1"/>
  <c r="A7115" i="1"/>
  <c r="A7116" i="1"/>
  <c r="A7117" i="1"/>
  <c r="A7118" i="1"/>
  <c r="A7119" i="1"/>
  <c r="A7120" i="1"/>
  <c r="A7121" i="1"/>
  <c r="A7122" i="1"/>
  <c r="A7123" i="1"/>
  <c r="A7124" i="1"/>
  <c r="A7125" i="1"/>
  <c r="A7126" i="1"/>
  <c r="A7127" i="1"/>
  <c r="B7127" i="1"/>
  <c r="A7128" i="1"/>
  <c r="A7129" i="1"/>
  <c r="A7130" i="1"/>
  <c r="B7130" i="1"/>
  <c r="A7131" i="1"/>
  <c r="B7131" i="1"/>
  <c r="A7132" i="1"/>
  <c r="B7132" i="1"/>
  <c r="A7133" i="1"/>
  <c r="B7133" i="1"/>
  <c r="A7134" i="1"/>
  <c r="B7134" i="1"/>
  <c r="A7135" i="1"/>
  <c r="B7135" i="1"/>
  <c r="A7136" i="1"/>
  <c r="B7136" i="1"/>
  <c r="A7137" i="1"/>
  <c r="B7137" i="1"/>
  <c r="A7138" i="1"/>
  <c r="B7138" i="1"/>
  <c r="A7139" i="1"/>
  <c r="B7139" i="1"/>
  <c r="A7140" i="1"/>
  <c r="B7140" i="1"/>
  <c r="A7141" i="1"/>
  <c r="B7141" i="1"/>
  <c r="A7142" i="1"/>
  <c r="B7142" i="1"/>
  <c r="A7143" i="1"/>
  <c r="B7143" i="1"/>
  <c r="A7144" i="1"/>
  <c r="B7144" i="1"/>
  <c r="A7145" i="1"/>
  <c r="B7145" i="1"/>
  <c r="A7146" i="1"/>
  <c r="B7146" i="1"/>
  <c r="A7147" i="1"/>
  <c r="A7148" i="1"/>
  <c r="B7148" i="1"/>
  <c r="A7149" i="1"/>
  <c r="A7150" i="1"/>
  <c r="B7150" i="1"/>
  <c r="A7151" i="1"/>
  <c r="B7151" i="1"/>
  <c r="A7152" i="1"/>
  <c r="B7152" i="1"/>
  <c r="A7153" i="1"/>
  <c r="B7153" i="1"/>
  <c r="A7154" i="1"/>
  <c r="B7154" i="1"/>
  <c r="A7155" i="1"/>
  <c r="A7156" i="1"/>
  <c r="B7156" i="1"/>
  <c r="A7157" i="1"/>
  <c r="B7157" i="1"/>
  <c r="A7158" i="1"/>
  <c r="B7158" i="1"/>
  <c r="A7159" i="1"/>
  <c r="B7159" i="1"/>
  <c r="A7160" i="1"/>
  <c r="B7160" i="1"/>
  <c r="A7161" i="1"/>
  <c r="A7162" i="1"/>
  <c r="B7162" i="1"/>
  <c r="A7163" i="1"/>
  <c r="B7163" i="1"/>
  <c r="A7164" i="1"/>
  <c r="B7164" i="1"/>
  <c r="A7165" i="1"/>
  <c r="B7165" i="1"/>
  <c r="A7166" i="1"/>
  <c r="B7166" i="1"/>
  <c r="A7167" i="1"/>
  <c r="B7167" i="1"/>
  <c r="A7168" i="1"/>
  <c r="B7168" i="1"/>
  <c r="A7169" i="1"/>
  <c r="B7169" i="1"/>
  <c r="A7170" i="1"/>
  <c r="B7170" i="1"/>
  <c r="A7171" i="1"/>
  <c r="B7171" i="1"/>
  <c r="A7172" i="1"/>
  <c r="B7172" i="1"/>
  <c r="A7173" i="1"/>
  <c r="B7173" i="1"/>
  <c r="A7174" i="1"/>
  <c r="B7174" i="1"/>
  <c r="A7175" i="1"/>
  <c r="B7175" i="1"/>
  <c r="A7176" i="1"/>
  <c r="B7176" i="1"/>
  <c r="A7177" i="1"/>
  <c r="B7177" i="1"/>
  <c r="A7178" i="1"/>
  <c r="B7178" i="1"/>
  <c r="A7179" i="1"/>
  <c r="B7179" i="1"/>
  <c r="A7180" i="1"/>
  <c r="B7180" i="1"/>
  <c r="A7181" i="1"/>
  <c r="B7181" i="1"/>
  <c r="A7182" i="1"/>
  <c r="B7182" i="1"/>
  <c r="A7183" i="1"/>
  <c r="A7184" i="1"/>
  <c r="B7184" i="1"/>
  <c r="A7185" i="1"/>
  <c r="B7185" i="1"/>
  <c r="A7186" i="1"/>
  <c r="B7186" i="1"/>
  <c r="A7187" i="1"/>
  <c r="B7187" i="1"/>
  <c r="A7188" i="1"/>
  <c r="B7188" i="1"/>
  <c r="A7189" i="1"/>
  <c r="A7190" i="1"/>
  <c r="B7190" i="1"/>
  <c r="A7191" i="1"/>
  <c r="B7191" i="1"/>
  <c r="A7192" i="1"/>
  <c r="A7193" i="1"/>
  <c r="B7193" i="1"/>
  <c r="A7194" i="1"/>
  <c r="B7194" i="1"/>
  <c r="A7195" i="1"/>
  <c r="B7195" i="1"/>
  <c r="A7196" i="1"/>
  <c r="B7196" i="1"/>
  <c r="A7197" i="1"/>
  <c r="B7197" i="1"/>
  <c r="A7198" i="1"/>
  <c r="B7198" i="1"/>
  <c r="A7199" i="1"/>
  <c r="B7199" i="1"/>
  <c r="A7200" i="1"/>
  <c r="B7200" i="1"/>
  <c r="A7201" i="1"/>
  <c r="B7201" i="1"/>
  <c r="A7202" i="1"/>
  <c r="A7203" i="1"/>
  <c r="A7204" i="1"/>
  <c r="B7204" i="1"/>
  <c r="A7205" i="1"/>
  <c r="B7205" i="1"/>
  <c r="A7206" i="1"/>
  <c r="B7206" i="1"/>
  <c r="A7207" i="1"/>
  <c r="B7207" i="1"/>
  <c r="A7208" i="1"/>
  <c r="B7208" i="1"/>
  <c r="A7209" i="1"/>
  <c r="B7209" i="1"/>
  <c r="A7210" i="1"/>
  <c r="B7210" i="1"/>
  <c r="A7211" i="1"/>
  <c r="B7211" i="1"/>
  <c r="A7212" i="1"/>
  <c r="A7213" i="1"/>
  <c r="B7213" i="1"/>
  <c r="A7214" i="1"/>
  <c r="B7214" i="1"/>
  <c r="A7215" i="1"/>
  <c r="B7215" i="1"/>
  <c r="A7216" i="1"/>
  <c r="B7216" i="1"/>
  <c r="A7217" i="1"/>
  <c r="B7217" i="1"/>
  <c r="A7218" i="1"/>
  <c r="B7218" i="1"/>
  <c r="A7219" i="1"/>
  <c r="B7219" i="1"/>
  <c r="A7220" i="1"/>
  <c r="A7221" i="1"/>
  <c r="A7222" i="1"/>
  <c r="B7222" i="1"/>
  <c r="A7223" i="1"/>
  <c r="B7223" i="1"/>
  <c r="A7224" i="1"/>
  <c r="A7225" i="1"/>
  <c r="B7225" i="1"/>
  <c r="A7226" i="1"/>
  <c r="B7226" i="1"/>
  <c r="A7227" i="1"/>
  <c r="B7227" i="1"/>
  <c r="A7228" i="1"/>
  <c r="B7228" i="1"/>
  <c r="A7229" i="1"/>
  <c r="B7229" i="1"/>
  <c r="A7230" i="1"/>
  <c r="B7230" i="1"/>
  <c r="A7231" i="1"/>
  <c r="B7231" i="1"/>
  <c r="A7232" i="1"/>
  <c r="B7232" i="1"/>
  <c r="A7233" i="1"/>
  <c r="B7233" i="1"/>
  <c r="A7234" i="1"/>
  <c r="A7235" i="1"/>
  <c r="A7236" i="1"/>
  <c r="B7236" i="1"/>
  <c r="A7237" i="1"/>
  <c r="B7237" i="1"/>
  <c r="A7238" i="1"/>
  <c r="A7239" i="1"/>
  <c r="A7240" i="1"/>
  <c r="B7240" i="1"/>
  <c r="A7241" i="1"/>
  <c r="B7241" i="1"/>
  <c r="A7242" i="1"/>
  <c r="A7243" i="1"/>
  <c r="A7244" i="1"/>
  <c r="B7244" i="1"/>
  <c r="A7245" i="1"/>
  <c r="B7245" i="1"/>
  <c r="A7246" i="1"/>
  <c r="B7246" i="1"/>
  <c r="A7247" i="1"/>
  <c r="B7247" i="1"/>
  <c r="A7248" i="1"/>
  <c r="A7249" i="1"/>
  <c r="A7250" i="1"/>
  <c r="B7250" i="1"/>
  <c r="A7251" i="1"/>
  <c r="B7251" i="1"/>
  <c r="A7252" i="1"/>
  <c r="B7252" i="1"/>
  <c r="A7253" i="1"/>
  <c r="B7253" i="1"/>
  <c r="A7254" i="1"/>
  <c r="A7255" i="1"/>
  <c r="B7255" i="1"/>
  <c r="A7256" i="1"/>
  <c r="B7256" i="1"/>
  <c r="A7257" i="1"/>
  <c r="B7257" i="1"/>
  <c r="A7258" i="1"/>
  <c r="B7258" i="1"/>
  <c r="A7259" i="1"/>
  <c r="A7260" i="1"/>
  <c r="B7260" i="1"/>
  <c r="A7261" i="1"/>
  <c r="B7261" i="1"/>
  <c r="A7262" i="1"/>
  <c r="B7262" i="1"/>
  <c r="A7263" i="1"/>
  <c r="B7263" i="1"/>
  <c r="A7264" i="1"/>
  <c r="A7265" i="1"/>
  <c r="B7265" i="1"/>
  <c r="A7266" i="1"/>
  <c r="B7266" i="1"/>
  <c r="A7267" i="1"/>
  <c r="B7267" i="1"/>
  <c r="A7268" i="1"/>
  <c r="B7268" i="1"/>
  <c r="A7269" i="1"/>
  <c r="A7270" i="1"/>
  <c r="A7271" i="1"/>
  <c r="A7272" i="1"/>
  <c r="A7273" i="1"/>
  <c r="A7274" i="1"/>
  <c r="A7275" i="1"/>
  <c r="A7276" i="1"/>
  <c r="A7277" i="1"/>
  <c r="A7278" i="1"/>
  <c r="A7279" i="1"/>
  <c r="A7280" i="1"/>
  <c r="A7281" i="1"/>
  <c r="A7282" i="1"/>
  <c r="B7282" i="1"/>
  <c r="A7283" i="1"/>
  <c r="B7283" i="1"/>
  <c r="A7284" i="1"/>
  <c r="A7285" i="1"/>
  <c r="B7285" i="1"/>
  <c r="A7286" i="1"/>
  <c r="B7286" i="1"/>
  <c r="A7287" i="1"/>
  <c r="B7287" i="1"/>
  <c r="A7288" i="1"/>
  <c r="B7288" i="1"/>
  <c r="A7289" i="1"/>
  <c r="B7289" i="1"/>
  <c r="A7290" i="1"/>
  <c r="B7290" i="1"/>
  <c r="A7291" i="1"/>
  <c r="B7291" i="1"/>
  <c r="A7292" i="1"/>
  <c r="B7292" i="1"/>
  <c r="A7293" i="1"/>
  <c r="B7293" i="1"/>
  <c r="A7294" i="1"/>
  <c r="B7294" i="1"/>
  <c r="A7295" i="1"/>
  <c r="B7295" i="1"/>
  <c r="A7296" i="1"/>
  <c r="B7296" i="1"/>
  <c r="A7297" i="1"/>
  <c r="B7297" i="1"/>
  <c r="A7298" i="1"/>
  <c r="B7298" i="1"/>
  <c r="A7299" i="1"/>
  <c r="B7299" i="1"/>
  <c r="A7300" i="1"/>
  <c r="A7301" i="1"/>
  <c r="B7301" i="1"/>
  <c r="A7302" i="1"/>
  <c r="B7302" i="1"/>
  <c r="A7303" i="1"/>
  <c r="B7303" i="1"/>
  <c r="A7304" i="1"/>
  <c r="B7304" i="1"/>
  <c r="A7305" i="1"/>
  <c r="B7305" i="1"/>
  <c r="A7306" i="1"/>
  <c r="B7306" i="1"/>
  <c r="A7307" i="1"/>
  <c r="B7307" i="1"/>
  <c r="A7308" i="1"/>
  <c r="A7309" i="1"/>
  <c r="A7310" i="1"/>
  <c r="B7310" i="1"/>
  <c r="A7311" i="1"/>
  <c r="B7311" i="1"/>
  <c r="A7312" i="1"/>
  <c r="B7312" i="1"/>
  <c r="A7313" i="1"/>
  <c r="B7313" i="1"/>
  <c r="A7314" i="1"/>
  <c r="A7315" i="1"/>
  <c r="B7315" i="1"/>
  <c r="A7316" i="1"/>
  <c r="B7316" i="1"/>
  <c r="A7317" i="1"/>
  <c r="B7317" i="1"/>
  <c r="A7318" i="1"/>
  <c r="A7319" i="1"/>
  <c r="B7319" i="1"/>
  <c r="A7320" i="1"/>
  <c r="B7320" i="1"/>
  <c r="A7321" i="1"/>
  <c r="B7321" i="1"/>
  <c r="A7322" i="1"/>
  <c r="A7323" i="1"/>
  <c r="B7323" i="1"/>
  <c r="A7324" i="1"/>
  <c r="B7324" i="1"/>
  <c r="A7325" i="1"/>
  <c r="B7325" i="1"/>
  <c r="A7326" i="1"/>
  <c r="A7327" i="1"/>
  <c r="B7327" i="1"/>
  <c r="A7328" i="1"/>
  <c r="B7328" i="1"/>
  <c r="A7329" i="1"/>
  <c r="B7329" i="1"/>
  <c r="A7330" i="1"/>
  <c r="A7331" i="1"/>
  <c r="B7331" i="1"/>
  <c r="A7332" i="1"/>
  <c r="B7332" i="1"/>
  <c r="A7333" i="1"/>
  <c r="B7333" i="1"/>
  <c r="A7334" i="1"/>
  <c r="B7334" i="1"/>
  <c r="A7335" i="1"/>
  <c r="B7335" i="1"/>
  <c r="A7336" i="1"/>
  <c r="B7336" i="1"/>
  <c r="A7337" i="1"/>
  <c r="A7338" i="1"/>
  <c r="B7338" i="1"/>
  <c r="A7339" i="1"/>
  <c r="A7340" i="1"/>
  <c r="B7340" i="1"/>
  <c r="A7341" i="1"/>
  <c r="B7341" i="1"/>
  <c r="A7342" i="1"/>
  <c r="B7342" i="1"/>
  <c r="A7343" i="1"/>
  <c r="B7343" i="1"/>
  <c r="A7344" i="1"/>
  <c r="B7344" i="1"/>
  <c r="A7345" i="1"/>
  <c r="B7345" i="1"/>
  <c r="A7346" i="1"/>
  <c r="B7346" i="1"/>
  <c r="A7347" i="1"/>
  <c r="B7347" i="1"/>
  <c r="A7348" i="1"/>
  <c r="A7349" i="1"/>
  <c r="A7350" i="1"/>
  <c r="B7350" i="1"/>
  <c r="A7351" i="1"/>
  <c r="B7351" i="1"/>
  <c r="A7352" i="1"/>
  <c r="B7352" i="1"/>
  <c r="A7353" i="1"/>
  <c r="B7353" i="1"/>
  <c r="A7354" i="1"/>
  <c r="B7354" i="1"/>
  <c r="A7355" i="1"/>
  <c r="B7355" i="1"/>
  <c r="A7356" i="1"/>
  <c r="A7357" i="1"/>
  <c r="A7358" i="1"/>
  <c r="B7358" i="1"/>
  <c r="A7359" i="1"/>
  <c r="A7360" i="1"/>
  <c r="A7361" i="1"/>
  <c r="A7362" i="1"/>
  <c r="A7363" i="1"/>
  <c r="B7363" i="1"/>
  <c r="A7364" i="1"/>
  <c r="A7365" i="1"/>
  <c r="B7365" i="1"/>
  <c r="A7366" i="1"/>
  <c r="B7366" i="1"/>
  <c r="A7367" i="1"/>
  <c r="B7367" i="1"/>
  <c r="A7368" i="1"/>
  <c r="A7369" i="1"/>
  <c r="B7369" i="1"/>
  <c r="A7370" i="1"/>
  <c r="B7370" i="1"/>
  <c r="A7371" i="1"/>
  <c r="B7371" i="1"/>
  <c r="A7372" i="1"/>
  <c r="B7372" i="1"/>
  <c r="A7373" i="1"/>
  <c r="B7373" i="1"/>
  <c r="A7374" i="1"/>
  <c r="A7375" i="1"/>
  <c r="A7376" i="1"/>
  <c r="A7377" i="1"/>
  <c r="A7378" i="1"/>
  <c r="A7379" i="1"/>
  <c r="B7379" i="1"/>
  <c r="A7380" i="1"/>
  <c r="B7380" i="1"/>
  <c r="A7381" i="1"/>
  <c r="B7381" i="1"/>
  <c r="A7382" i="1"/>
  <c r="B7382" i="1"/>
  <c r="A7383" i="1"/>
  <c r="B7383" i="1"/>
  <c r="A7384" i="1"/>
  <c r="A7385" i="1"/>
  <c r="A7386" i="1"/>
  <c r="B7386" i="1"/>
  <c r="A7387" i="1"/>
  <c r="B7387" i="1"/>
  <c r="A7388" i="1"/>
  <c r="B7388" i="1"/>
  <c r="A7389" i="1"/>
  <c r="B7389" i="1"/>
  <c r="A7390" i="1"/>
  <c r="B7390" i="1"/>
  <c r="A7391" i="1"/>
  <c r="B7391" i="1"/>
  <c r="A7392" i="1"/>
  <c r="B7392" i="1"/>
  <c r="A7393" i="1"/>
  <c r="B7393" i="1"/>
  <c r="A7394" i="1"/>
  <c r="B7394" i="1"/>
  <c r="A7395" i="1"/>
  <c r="B7395" i="1"/>
  <c r="A7396" i="1"/>
  <c r="A7397" i="1"/>
  <c r="B7397" i="1"/>
  <c r="A7398" i="1"/>
  <c r="A7399" i="1"/>
  <c r="B7399" i="1"/>
  <c r="A7400" i="1"/>
  <c r="B7400" i="1"/>
  <c r="A7401" i="1"/>
  <c r="B7401" i="1"/>
  <c r="A7402" i="1"/>
  <c r="A7403" i="1"/>
  <c r="B7403" i="1"/>
  <c r="A7404" i="1"/>
  <c r="A7405" i="1"/>
  <c r="A7406" i="1"/>
  <c r="B7406" i="1"/>
  <c r="A7407" i="1"/>
  <c r="B7407" i="1"/>
  <c r="A7408" i="1"/>
  <c r="A7409" i="1"/>
  <c r="A7410" i="1"/>
  <c r="B7410" i="1"/>
  <c r="A7411" i="1"/>
  <c r="B7411" i="1"/>
  <c r="A7412" i="1"/>
  <c r="B7412" i="1"/>
  <c r="A7413" i="1"/>
  <c r="B7413" i="1"/>
  <c r="A7414" i="1"/>
  <c r="B7414" i="1"/>
  <c r="A7415" i="1"/>
  <c r="B7415" i="1"/>
  <c r="A7416" i="1"/>
  <c r="B7416" i="1"/>
  <c r="A7417" i="1"/>
  <c r="B7417" i="1"/>
  <c r="A7418" i="1"/>
  <c r="B7418" i="1"/>
  <c r="A7419" i="1"/>
  <c r="A7420" i="1"/>
  <c r="B7420" i="1"/>
  <c r="A7421" i="1"/>
  <c r="B7421" i="1"/>
  <c r="A7422" i="1"/>
  <c r="A7423" i="1"/>
  <c r="B7423" i="1"/>
  <c r="A7424" i="1"/>
  <c r="B7424" i="1"/>
  <c r="A7425" i="1"/>
  <c r="B7425" i="1"/>
  <c r="A7426" i="1"/>
  <c r="B7426" i="1"/>
  <c r="A7427" i="1"/>
  <c r="A7428" i="1"/>
  <c r="B7428" i="1"/>
  <c r="A7429" i="1"/>
  <c r="B7429" i="1"/>
  <c r="A7430" i="1"/>
  <c r="B7430" i="1"/>
  <c r="A7431" i="1"/>
  <c r="B7431" i="1"/>
  <c r="A7432" i="1"/>
  <c r="B7432" i="1"/>
  <c r="A7433" i="1"/>
  <c r="B7433" i="1"/>
  <c r="A7434" i="1"/>
  <c r="B7434" i="1"/>
  <c r="A7435" i="1"/>
  <c r="B7435" i="1"/>
  <c r="A7436" i="1"/>
  <c r="B7436" i="1"/>
  <c r="A7437" i="1"/>
  <c r="A7438" i="1"/>
  <c r="B7438" i="1"/>
  <c r="A7439" i="1"/>
  <c r="B7439" i="1"/>
  <c r="A7440" i="1"/>
  <c r="B7440" i="1"/>
  <c r="A7441" i="1"/>
  <c r="B7441" i="1"/>
  <c r="A7442" i="1"/>
  <c r="A7443" i="1"/>
  <c r="B7443" i="1"/>
  <c r="A7444" i="1"/>
  <c r="B7444" i="1"/>
  <c r="A7445" i="1"/>
  <c r="A7446" i="1"/>
  <c r="B7446" i="1"/>
  <c r="A7447" i="1"/>
  <c r="B7447" i="1"/>
  <c r="A7448" i="1"/>
  <c r="B7448" i="1"/>
  <c r="A7449" i="1"/>
  <c r="B7449" i="1"/>
  <c r="A7450" i="1"/>
  <c r="B7450" i="1"/>
  <c r="A7451" i="1"/>
  <c r="B7451" i="1"/>
  <c r="A7452" i="1"/>
  <c r="A7453" i="1"/>
  <c r="B7453" i="1"/>
  <c r="A7454" i="1"/>
  <c r="B7454" i="1"/>
  <c r="A7455" i="1"/>
  <c r="B7455" i="1"/>
  <c r="A7456" i="1"/>
  <c r="B7456" i="1"/>
  <c r="A7457" i="1"/>
  <c r="A7458" i="1"/>
  <c r="B7458" i="1"/>
  <c r="A7459" i="1"/>
  <c r="B7459" i="1"/>
  <c r="A7460" i="1"/>
  <c r="A7461" i="1"/>
  <c r="B7461" i="1"/>
  <c r="A7462" i="1"/>
  <c r="B7462" i="1"/>
  <c r="A7463" i="1"/>
  <c r="B7463" i="1"/>
  <c r="A7464" i="1"/>
  <c r="B7464" i="1"/>
  <c r="A7465" i="1"/>
  <c r="A7466" i="1"/>
  <c r="B7466" i="1"/>
  <c r="A7467" i="1"/>
  <c r="B7467" i="1"/>
  <c r="A7468" i="1"/>
  <c r="B7468" i="1"/>
  <c r="A7469" i="1"/>
  <c r="B7469" i="1"/>
  <c r="A7470" i="1"/>
  <c r="B7470" i="1"/>
  <c r="A7471" i="1"/>
  <c r="A7472" i="1"/>
  <c r="B7472" i="1"/>
  <c r="A7473" i="1"/>
  <c r="B7473" i="1"/>
  <c r="A7474" i="1"/>
  <c r="B7474" i="1"/>
  <c r="A7475" i="1"/>
  <c r="B7475" i="1"/>
  <c r="A7476" i="1"/>
  <c r="B7476" i="1"/>
  <c r="A7477" i="1"/>
  <c r="B7477" i="1"/>
  <c r="A7478" i="1"/>
  <c r="B7478" i="1"/>
  <c r="A7479" i="1"/>
  <c r="B7479" i="1"/>
  <c r="A7480" i="1"/>
  <c r="B7480" i="1"/>
  <c r="A7481" i="1"/>
  <c r="B7481" i="1"/>
  <c r="A7482" i="1"/>
  <c r="B7482" i="1"/>
  <c r="A7483" i="1"/>
  <c r="B7483" i="1"/>
  <c r="A7484" i="1"/>
  <c r="B7484" i="1"/>
  <c r="A7485" i="1"/>
  <c r="B7485" i="1"/>
  <c r="A7486" i="1"/>
  <c r="A7487" i="1"/>
  <c r="B7487" i="1"/>
  <c r="A7488" i="1"/>
  <c r="A7489" i="1"/>
  <c r="B7489" i="1"/>
  <c r="A7490" i="1"/>
  <c r="B7490" i="1"/>
  <c r="A7491" i="1"/>
  <c r="B7491" i="1"/>
  <c r="A7492" i="1"/>
  <c r="B7492" i="1"/>
  <c r="A7493" i="1"/>
  <c r="A7494" i="1"/>
  <c r="A7495" i="1"/>
  <c r="B7495" i="1"/>
  <c r="A7496" i="1"/>
  <c r="B7496" i="1"/>
  <c r="A7497" i="1"/>
  <c r="B7497" i="1"/>
  <c r="A7498" i="1"/>
  <c r="A7499" i="1"/>
  <c r="A7500" i="1"/>
  <c r="B7500" i="1"/>
  <c r="A7501" i="1"/>
  <c r="A7502" i="1"/>
  <c r="A7503" i="1"/>
  <c r="B7503" i="1"/>
  <c r="A7504" i="1"/>
  <c r="A7505" i="1"/>
  <c r="A7506" i="1"/>
  <c r="B7506" i="1"/>
  <c r="A7507" i="1"/>
  <c r="B7507" i="1"/>
  <c r="A7508" i="1"/>
  <c r="A7509" i="1"/>
  <c r="B7509" i="1"/>
  <c r="A7510" i="1"/>
  <c r="A7511" i="1"/>
  <c r="B7511" i="1"/>
  <c r="A7512" i="1"/>
  <c r="B7512" i="1"/>
  <c r="A7513" i="1"/>
  <c r="B7513" i="1"/>
  <c r="A7514" i="1"/>
  <c r="B7514" i="1"/>
  <c r="A7515" i="1"/>
  <c r="B7515" i="1"/>
  <c r="A7516" i="1"/>
  <c r="B7516" i="1"/>
  <c r="A7517" i="1"/>
  <c r="B7517" i="1"/>
  <c r="A7518" i="1"/>
  <c r="A7519" i="1"/>
  <c r="A7520" i="1"/>
  <c r="B7520" i="1"/>
  <c r="A7521" i="1"/>
  <c r="B7521" i="1"/>
  <c r="A7522" i="1"/>
  <c r="B7522" i="1"/>
  <c r="A7523" i="1"/>
  <c r="A7524" i="1"/>
  <c r="B7524" i="1"/>
  <c r="A7525" i="1"/>
  <c r="A7526" i="1"/>
  <c r="A7527" i="1"/>
  <c r="B7527" i="1"/>
  <c r="A7528" i="1"/>
  <c r="B7528" i="1"/>
  <c r="A7529" i="1"/>
  <c r="B7529" i="1"/>
  <c r="A7530" i="1"/>
  <c r="B7530" i="1"/>
  <c r="A7531" i="1"/>
  <c r="A7532" i="1"/>
  <c r="A7533" i="1"/>
  <c r="B7533" i="1"/>
  <c r="A7534" i="1"/>
  <c r="A7535" i="1"/>
  <c r="A7536" i="1"/>
  <c r="A7537" i="1"/>
  <c r="B7537" i="1"/>
  <c r="A7538" i="1"/>
  <c r="B7538" i="1"/>
  <c r="A7539" i="1"/>
  <c r="B7539" i="1"/>
  <c r="A7540" i="1"/>
  <c r="B7540" i="1"/>
  <c r="A7541" i="1"/>
  <c r="B7541" i="1"/>
  <c r="A7542" i="1"/>
  <c r="B7542" i="1"/>
  <c r="A7543" i="1"/>
  <c r="B7543" i="1"/>
  <c r="A7544" i="1"/>
  <c r="A7545" i="1"/>
  <c r="B7545" i="1"/>
  <c r="A7546" i="1"/>
  <c r="B7546" i="1"/>
  <c r="A7547" i="1"/>
  <c r="B7547" i="1"/>
  <c r="A7548" i="1"/>
  <c r="A7549" i="1"/>
  <c r="A7550" i="1"/>
  <c r="A7551" i="1"/>
  <c r="A7552" i="1"/>
  <c r="A7553" i="1"/>
  <c r="B7553" i="1"/>
  <c r="A7554" i="1"/>
  <c r="A7555" i="1"/>
  <c r="A7556" i="1"/>
  <c r="B7556" i="1"/>
  <c r="A7557" i="1"/>
  <c r="A7558" i="1"/>
  <c r="B7558" i="1"/>
  <c r="A7559" i="1"/>
  <c r="B7559" i="1"/>
  <c r="A7560" i="1"/>
  <c r="B7560" i="1"/>
  <c r="A7561" i="1"/>
  <c r="B7561" i="1"/>
  <c r="A7562" i="1"/>
  <c r="B7562" i="1"/>
  <c r="A7563" i="1"/>
  <c r="B7563" i="1"/>
  <c r="A7564" i="1"/>
  <c r="B7564" i="1"/>
  <c r="A7565" i="1"/>
  <c r="B7565" i="1"/>
  <c r="A7566" i="1"/>
  <c r="A7567" i="1"/>
  <c r="B7567" i="1"/>
  <c r="A7568" i="1"/>
  <c r="B7568" i="1"/>
  <c r="A7569" i="1"/>
  <c r="A7570" i="1"/>
  <c r="B7570" i="1"/>
  <c r="A7571" i="1"/>
  <c r="B7571" i="1"/>
  <c r="A7572" i="1"/>
  <c r="B7572" i="1"/>
  <c r="A7573" i="1"/>
  <c r="B7573" i="1"/>
  <c r="A7574" i="1"/>
  <c r="A7575" i="1"/>
  <c r="B7575" i="1"/>
  <c r="A7576" i="1"/>
  <c r="B7576" i="1"/>
  <c r="A7577" i="1"/>
  <c r="B7577" i="1"/>
  <c r="A7578" i="1"/>
  <c r="A7579" i="1"/>
  <c r="A7580" i="1"/>
  <c r="B7580" i="1"/>
  <c r="A7581" i="1"/>
  <c r="B7581" i="1"/>
  <c r="A7582" i="1"/>
  <c r="B7582" i="1"/>
  <c r="A7583" i="1"/>
  <c r="B7583" i="1"/>
  <c r="A7584" i="1"/>
  <c r="A7585" i="1"/>
  <c r="A7586" i="1"/>
  <c r="B7586" i="1"/>
  <c r="A7587" i="1"/>
  <c r="B7587" i="1"/>
  <c r="A7588" i="1"/>
  <c r="B7588" i="1"/>
  <c r="A7589" i="1"/>
  <c r="B7589" i="1"/>
  <c r="A7590" i="1"/>
  <c r="B7590" i="1"/>
  <c r="A7591" i="1"/>
  <c r="A7592" i="1"/>
  <c r="B7592" i="1"/>
  <c r="A7593" i="1"/>
  <c r="B7593" i="1"/>
  <c r="A7594" i="1"/>
  <c r="B7594" i="1"/>
  <c r="A7595" i="1"/>
  <c r="B7595" i="1"/>
  <c r="A7596" i="1"/>
  <c r="A7597" i="1"/>
  <c r="B7597" i="1"/>
  <c r="A7598" i="1"/>
  <c r="B7598" i="1"/>
  <c r="A7599" i="1"/>
  <c r="B7599" i="1"/>
  <c r="A7600" i="1"/>
  <c r="B7600" i="1"/>
  <c r="A7601" i="1"/>
  <c r="B7601" i="1"/>
  <c r="A7602" i="1"/>
  <c r="A7603" i="1"/>
  <c r="B7603" i="1"/>
  <c r="A7604" i="1"/>
  <c r="B7604" i="1"/>
  <c r="A7605" i="1"/>
  <c r="B7605" i="1"/>
  <c r="A7606" i="1"/>
  <c r="B7606" i="1"/>
  <c r="A7607" i="1"/>
  <c r="B7607" i="1"/>
  <c r="A7608" i="1"/>
  <c r="B7608" i="1"/>
  <c r="A7609" i="1"/>
  <c r="A7610" i="1"/>
  <c r="B7610" i="1"/>
  <c r="A7611" i="1"/>
  <c r="B7611" i="1"/>
  <c r="A7612" i="1"/>
  <c r="B7612" i="1"/>
  <c r="A7613" i="1"/>
  <c r="B7613" i="1"/>
  <c r="A7614" i="1"/>
  <c r="B7614" i="1"/>
  <c r="A7615" i="1"/>
  <c r="A7616" i="1"/>
  <c r="B7616" i="1"/>
  <c r="A7617" i="1"/>
  <c r="A7618" i="1"/>
  <c r="B7618" i="1"/>
  <c r="A7619" i="1"/>
  <c r="B7619" i="1"/>
  <c r="A7620" i="1"/>
  <c r="A7621" i="1"/>
  <c r="B7621" i="1"/>
  <c r="A7622" i="1"/>
  <c r="A7623" i="1"/>
  <c r="A7624" i="1"/>
  <c r="B7624" i="1"/>
  <c r="A7625" i="1"/>
  <c r="B7625" i="1"/>
  <c r="A7626" i="1"/>
  <c r="B7626" i="1"/>
  <c r="A7627" i="1"/>
  <c r="B7627" i="1"/>
  <c r="A7628" i="1"/>
  <c r="A7629" i="1"/>
  <c r="B7629" i="1"/>
  <c r="A7630" i="1"/>
  <c r="B7630" i="1"/>
  <c r="A7631" i="1"/>
  <c r="A7632" i="1"/>
  <c r="B7632" i="1"/>
  <c r="A7633" i="1"/>
  <c r="B7633" i="1"/>
  <c r="A7634" i="1"/>
  <c r="B7634" i="1"/>
  <c r="A7635" i="1"/>
  <c r="B7635" i="1"/>
  <c r="A7636" i="1"/>
  <c r="B7636" i="1"/>
  <c r="A7637" i="1"/>
  <c r="B7637" i="1"/>
  <c r="A7638" i="1"/>
  <c r="B7638" i="1"/>
  <c r="A7639" i="1"/>
  <c r="B7639" i="1"/>
  <c r="A7640" i="1"/>
  <c r="B7640" i="1"/>
  <c r="A7641" i="1"/>
  <c r="B7641" i="1"/>
  <c r="A7642" i="1"/>
  <c r="B7642" i="1"/>
  <c r="A7643" i="1"/>
  <c r="A7644" i="1"/>
  <c r="B7644" i="1"/>
  <c r="A7645" i="1"/>
  <c r="B7645" i="1"/>
  <c r="A7646" i="1"/>
  <c r="B7646" i="1"/>
  <c r="A7647" i="1"/>
  <c r="B7647" i="1"/>
  <c r="A7648" i="1"/>
  <c r="B7648" i="1"/>
  <c r="A7649" i="1"/>
  <c r="B7649" i="1"/>
  <c r="A7650" i="1"/>
  <c r="B7650" i="1"/>
  <c r="A7651" i="1"/>
  <c r="B7651" i="1"/>
  <c r="A7652" i="1"/>
  <c r="B7652" i="1"/>
  <c r="A7653" i="1"/>
  <c r="B7653" i="1"/>
  <c r="A7654" i="1"/>
  <c r="B7654" i="1"/>
  <c r="A7655" i="1"/>
  <c r="B7655" i="1"/>
  <c r="A7656" i="1"/>
  <c r="B7656" i="1"/>
  <c r="A7657" i="1"/>
  <c r="A7658" i="1"/>
  <c r="B7658" i="1"/>
  <c r="A7659" i="1"/>
  <c r="B7659" i="1"/>
  <c r="A7660" i="1"/>
  <c r="B7660" i="1"/>
  <c r="A7661" i="1"/>
  <c r="A7662" i="1"/>
  <c r="B7662" i="1"/>
  <c r="A7663" i="1"/>
  <c r="B7663" i="1"/>
  <c r="A7664" i="1"/>
  <c r="B7664" i="1"/>
  <c r="A7665" i="1"/>
  <c r="B7665" i="1"/>
  <c r="A7666" i="1"/>
  <c r="B7666" i="1"/>
  <c r="A7667" i="1"/>
  <c r="B7667" i="1"/>
  <c r="A7668" i="1"/>
  <c r="B7668" i="1"/>
  <c r="A7669" i="1"/>
  <c r="A7670" i="1"/>
  <c r="B7670" i="1"/>
  <c r="A7671" i="1"/>
  <c r="A7672" i="1"/>
  <c r="A7673" i="1"/>
  <c r="B7673" i="1"/>
  <c r="A7674" i="1"/>
  <c r="B7674" i="1"/>
  <c r="A7675" i="1"/>
  <c r="B7675" i="1"/>
  <c r="A7676" i="1"/>
  <c r="A7677" i="1"/>
  <c r="B7677" i="1"/>
  <c r="A7678" i="1"/>
  <c r="B7678" i="1"/>
  <c r="A7679" i="1"/>
  <c r="A7680" i="1"/>
  <c r="B7680" i="1"/>
  <c r="A7681" i="1"/>
  <c r="A7682" i="1"/>
  <c r="B7682" i="1"/>
  <c r="A7683" i="1"/>
  <c r="B7683" i="1"/>
  <c r="A7684" i="1"/>
  <c r="B7684" i="1"/>
  <c r="A7685" i="1"/>
  <c r="B7685" i="1"/>
  <c r="A7686" i="1"/>
  <c r="B7686" i="1"/>
  <c r="A7687" i="1"/>
  <c r="B7687" i="1"/>
  <c r="A7688" i="1"/>
  <c r="B7688" i="1"/>
  <c r="A7689" i="1"/>
  <c r="B7689" i="1"/>
  <c r="A7690" i="1"/>
  <c r="B7690" i="1"/>
  <c r="A7691" i="1"/>
  <c r="B7691" i="1"/>
  <c r="A7692" i="1"/>
  <c r="A7693" i="1"/>
  <c r="A7694" i="1"/>
  <c r="B7694" i="1"/>
  <c r="A7695" i="1"/>
  <c r="B7695" i="1"/>
  <c r="A7696" i="1"/>
  <c r="B7696" i="1"/>
  <c r="A7697" i="1"/>
  <c r="B7697" i="1"/>
  <c r="A7698" i="1"/>
  <c r="B7698" i="1"/>
  <c r="A7699" i="1"/>
  <c r="B7699" i="1"/>
  <c r="A7700" i="1"/>
  <c r="B7700" i="1"/>
  <c r="A7701" i="1"/>
  <c r="B7701" i="1"/>
  <c r="A7702" i="1"/>
  <c r="A7703" i="1"/>
  <c r="B7703" i="1"/>
  <c r="A7704" i="1"/>
  <c r="B7704" i="1"/>
  <c r="A7705" i="1"/>
  <c r="A7706" i="1"/>
  <c r="B7706" i="1"/>
  <c r="A7707" i="1"/>
  <c r="B7707" i="1"/>
  <c r="A7708" i="1"/>
  <c r="A7709" i="1"/>
  <c r="B7709" i="1"/>
  <c r="A7710" i="1"/>
  <c r="B7710" i="1"/>
  <c r="A7711" i="1"/>
  <c r="B7711" i="1"/>
  <c r="A7712" i="1"/>
  <c r="A7713" i="1"/>
  <c r="B7713" i="1"/>
  <c r="A7714" i="1"/>
  <c r="B7714" i="1"/>
  <c r="A7715" i="1"/>
  <c r="B7715" i="1"/>
  <c r="A7716" i="1"/>
  <c r="B7716" i="1"/>
  <c r="A7717" i="1"/>
  <c r="A7718" i="1"/>
  <c r="B7718" i="1"/>
  <c r="A7719" i="1"/>
  <c r="B7719" i="1"/>
  <c r="A7720" i="1"/>
  <c r="B7720" i="1"/>
  <c r="A7721" i="1"/>
  <c r="B7721" i="1"/>
  <c r="A7722" i="1"/>
  <c r="B7722" i="1"/>
  <c r="A7723" i="1"/>
  <c r="B7723" i="1"/>
  <c r="A7724" i="1"/>
  <c r="A7725" i="1"/>
  <c r="B7725" i="1"/>
  <c r="A7726" i="1"/>
  <c r="B7726" i="1"/>
  <c r="A7727" i="1"/>
  <c r="B7727" i="1"/>
  <c r="A7728" i="1"/>
  <c r="A7729" i="1"/>
  <c r="A7730" i="1"/>
  <c r="A7731" i="1"/>
  <c r="A7732" i="1"/>
  <c r="B7732" i="1"/>
  <c r="A7733" i="1"/>
  <c r="B7733" i="1"/>
  <c r="A7734" i="1"/>
  <c r="A7735" i="1"/>
  <c r="A7736" i="1"/>
  <c r="B7736" i="1"/>
  <c r="A7737" i="1"/>
  <c r="B7737" i="1"/>
  <c r="A7738" i="1"/>
  <c r="B7738" i="1"/>
  <c r="A7739" i="1"/>
  <c r="B7739" i="1"/>
  <c r="A7740" i="1"/>
  <c r="B7740" i="1"/>
  <c r="A7741" i="1"/>
  <c r="A7742" i="1"/>
  <c r="B7742" i="1"/>
  <c r="A7743" i="1"/>
  <c r="B7743" i="1"/>
  <c r="A7744" i="1"/>
  <c r="B7744" i="1"/>
  <c r="A7745" i="1"/>
  <c r="A7746" i="1"/>
  <c r="B7746" i="1"/>
  <c r="A7747" i="1"/>
  <c r="B7747" i="1"/>
  <c r="A7748" i="1"/>
  <c r="B7748" i="1"/>
  <c r="A7749" i="1"/>
  <c r="A7750" i="1"/>
  <c r="B7750" i="1"/>
  <c r="A7751" i="1"/>
  <c r="A7752" i="1"/>
  <c r="A7753" i="1"/>
  <c r="B7753" i="1"/>
  <c r="A7754" i="1"/>
  <c r="B7754" i="1"/>
  <c r="A7755" i="1"/>
  <c r="B7755" i="1"/>
  <c r="A7756" i="1"/>
  <c r="B7756" i="1"/>
  <c r="A7757" i="1"/>
  <c r="A7758" i="1"/>
  <c r="A7759" i="1"/>
  <c r="B7759" i="1"/>
  <c r="A7760" i="1"/>
  <c r="A7761" i="1"/>
  <c r="B7761" i="1"/>
  <c r="A7762" i="1"/>
  <c r="B7762" i="1"/>
  <c r="A7763" i="1"/>
  <c r="B7763" i="1"/>
  <c r="A7764" i="1"/>
  <c r="B7764" i="1"/>
  <c r="A7765" i="1"/>
  <c r="B7765" i="1"/>
  <c r="A7766" i="1"/>
  <c r="B7766" i="1"/>
  <c r="A7767" i="1"/>
  <c r="B7767" i="1"/>
  <c r="A7768" i="1"/>
  <c r="B7768" i="1"/>
  <c r="A7769" i="1"/>
  <c r="B7769" i="1"/>
  <c r="A7770" i="1"/>
  <c r="B7770" i="1"/>
  <c r="A7771" i="1"/>
  <c r="B7771" i="1"/>
  <c r="A7772" i="1"/>
  <c r="B7772" i="1"/>
  <c r="A7773" i="1"/>
  <c r="B7773" i="1"/>
  <c r="A7774" i="1"/>
  <c r="B7774" i="1"/>
  <c r="A7775" i="1"/>
  <c r="B7775" i="1"/>
  <c r="A7776" i="1"/>
  <c r="A7777" i="1"/>
  <c r="B7777" i="1"/>
  <c r="A7778" i="1"/>
  <c r="A7779" i="1"/>
  <c r="B7779" i="1"/>
  <c r="A7780" i="1"/>
  <c r="B7780" i="1"/>
  <c r="A7781" i="1"/>
  <c r="B7781" i="1"/>
  <c r="A7782" i="1"/>
  <c r="B7782" i="1"/>
  <c r="A7783" i="1"/>
  <c r="B7783" i="1"/>
  <c r="A7784" i="1"/>
  <c r="B7784" i="1"/>
  <c r="A7785" i="1"/>
  <c r="B7785" i="1"/>
  <c r="A7786" i="1"/>
  <c r="B7786" i="1"/>
  <c r="A7787" i="1"/>
  <c r="B7787" i="1"/>
  <c r="A7788" i="1"/>
  <c r="A7789" i="1"/>
  <c r="B7789" i="1"/>
  <c r="A7790" i="1"/>
  <c r="B7790" i="1"/>
  <c r="A7791" i="1"/>
  <c r="B7791" i="1"/>
  <c r="A7792" i="1"/>
  <c r="B7792" i="1"/>
  <c r="A7793" i="1"/>
  <c r="B7793" i="1"/>
  <c r="A7794" i="1"/>
  <c r="B7794" i="1"/>
  <c r="A7795" i="1"/>
  <c r="B7795" i="1"/>
  <c r="A7796" i="1"/>
  <c r="B7796" i="1"/>
  <c r="A7797" i="1"/>
  <c r="B7797" i="1"/>
  <c r="A7798" i="1"/>
  <c r="B7798" i="1"/>
  <c r="A7799" i="1"/>
  <c r="B7799" i="1"/>
  <c r="A7800" i="1"/>
  <c r="B7800" i="1"/>
  <c r="A7801" i="1"/>
  <c r="A7802" i="1"/>
  <c r="B7802" i="1"/>
  <c r="A7803" i="1"/>
  <c r="B7803" i="1"/>
  <c r="A7804" i="1"/>
  <c r="A7805" i="1"/>
  <c r="B7805" i="1"/>
  <c r="A7806" i="1"/>
  <c r="A7807" i="1"/>
  <c r="B7807" i="1"/>
  <c r="A7808" i="1"/>
  <c r="B7808" i="1"/>
  <c r="A7809" i="1"/>
  <c r="B7809" i="1"/>
  <c r="A7810" i="1"/>
  <c r="B7810" i="1"/>
  <c r="A7811" i="1"/>
  <c r="B7811" i="1"/>
  <c r="A7812" i="1"/>
  <c r="B7812" i="1"/>
  <c r="A7813" i="1"/>
  <c r="B7813" i="1"/>
  <c r="A7814" i="1"/>
  <c r="A7815" i="1"/>
  <c r="A7816" i="1"/>
  <c r="B7816" i="1"/>
  <c r="A7817" i="1"/>
  <c r="B7817" i="1"/>
  <c r="A7818" i="1"/>
  <c r="B7818" i="1"/>
  <c r="A7819" i="1"/>
  <c r="B7819" i="1"/>
  <c r="A7820" i="1"/>
  <c r="B7820" i="1"/>
  <c r="A7821" i="1"/>
  <c r="A7822" i="1"/>
  <c r="A7823" i="1"/>
  <c r="A7824" i="1"/>
  <c r="B7824" i="1"/>
  <c r="A7825" i="1"/>
  <c r="B7825" i="1"/>
  <c r="A7826" i="1"/>
  <c r="B7826" i="1"/>
  <c r="A7827" i="1"/>
  <c r="B7827" i="1"/>
  <c r="A7828" i="1"/>
  <c r="A7829" i="1"/>
  <c r="A7830" i="1"/>
  <c r="B7830" i="1"/>
  <c r="A7831" i="1"/>
  <c r="B7831" i="1"/>
  <c r="A7832" i="1"/>
  <c r="B7832" i="1"/>
  <c r="A7833" i="1"/>
  <c r="B7833" i="1"/>
  <c r="A7834" i="1"/>
  <c r="A7835" i="1"/>
  <c r="B7835" i="1"/>
  <c r="A7836" i="1"/>
  <c r="B7836" i="1"/>
  <c r="A7837" i="1"/>
  <c r="A7838" i="1"/>
  <c r="A7839" i="1"/>
  <c r="B7839" i="1"/>
  <c r="A7840" i="1"/>
  <c r="A7841" i="1"/>
  <c r="B7841" i="1"/>
  <c r="A7842" i="1"/>
  <c r="B7842" i="1"/>
  <c r="A7843" i="1"/>
  <c r="B7843" i="1"/>
  <c r="A7844" i="1"/>
  <c r="A7845" i="1"/>
  <c r="B7845" i="1"/>
  <c r="A7846" i="1"/>
  <c r="B7846" i="1"/>
  <c r="A7847" i="1"/>
  <c r="B7847" i="1"/>
  <c r="A7848" i="1"/>
  <c r="B7848" i="1"/>
  <c r="A7849" i="1"/>
  <c r="B7849" i="1"/>
  <c r="A7850" i="1"/>
  <c r="B7850" i="1"/>
  <c r="A7851" i="1"/>
  <c r="B7851" i="1"/>
  <c r="A7852" i="1"/>
  <c r="A7853" i="1"/>
  <c r="B7853" i="1"/>
  <c r="A7854" i="1"/>
  <c r="B7854" i="1"/>
  <c r="A7855" i="1"/>
  <c r="B7855" i="1"/>
  <c r="A7856" i="1"/>
  <c r="B7856" i="1"/>
  <c r="A7857" i="1"/>
  <c r="B7857" i="1"/>
  <c r="A7858" i="1"/>
  <c r="B7858" i="1"/>
  <c r="A7859" i="1"/>
  <c r="B7859" i="1"/>
  <c r="A7860" i="1"/>
  <c r="B7860" i="1"/>
  <c r="A7861" i="1"/>
  <c r="B7861" i="1"/>
  <c r="A7862" i="1"/>
  <c r="B7862" i="1"/>
  <c r="A7863" i="1"/>
  <c r="B7863" i="1"/>
  <c r="A7864" i="1"/>
  <c r="B7864" i="1"/>
  <c r="A7865" i="1"/>
  <c r="B7865" i="1"/>
  <c r="A7866" i="1"/>
  <c r="B7866" i="1"/>
  <c r="A7867" i="1"/>
  <c r="B7867" i="1"/>
  <c r="A7868" i="1"/>
  <c r="B7868" i="1"/>
  <c r="A7869" i="1"/>
  <c r="B7869" i="1"/>
  <c r="A7870" i="1"/>
  <c r="B7870" i="1"/>
  <c r="A7871" i="1"/>
  <c r="B7871" i="1"/>
  <c r="A7872" i="1"/>
  <c r="A7873" i="1"/>
  <c r="B7873" i="1"/>
  <c r="A7874" i="1"/>
  <c r="A7875" i="1"/>
  <c r="B7875" i="1"/>
  <c r="A7876" i="1"/>
  <c r="A7877" i="1"/>
  <c r="A7878" i="1"/>
  <c r="B7878" i="1"/>
  <c r="A7879" i="1"/>
  <c r="B7879" i="1"/>
  <c r="A7880" i="1"/>
  <c r="A7881" i="1"/>
  <c r="B7881" i="1"/>
  <c r="A7882" i="1"/>
  <c r="B7882" i="1"/>
  <c r="A7883" i="1"/>
  <c r="B7883" i="1"/>
  <c r="A7884" i="1"/>
  <c r="B7884" i="1"/>
  <c r="A7885" i="1"/>
  <c r="B7885" i="1"/>
  <c r="A7886" i="1"/>
  <c r="A7887" i="1"/>
  <c r="B7887" i="1"/>
  <c r="A7888" i="1"/>
  <c r="A7889" i="1"/>
  <c r="A7890" i="1"/>
  <c r="A7891" i="1"/>
  <c r="B7891" i="1"/>
  <c r="A7892" i="1"/>
  <c r="A7893" i="1"/>
  <c r="B7893" i="1"/>
  <c r="A7894" i="1"/>
  <c r="B7894" i="1"/>
  <c r="A7895" i="1"/>
  <c r="B7895" i="1"/>
  <c r="A7896" i="1"/>
  <c r="B7896" i="1"/>
  <c r="A7897" i="1"/>
  <c r="B7897" i="1"/>
  <c r="A7898" i="1"/>
  <c r="B7898" i="1"/>
  <c r="A7899" i="1"/>
  <c r="A7900" i="1"/>
  <c r="A7901" i="1"/>
  <c r="B7901" i="1"/>
  <c r="A7902" i="1"/>
  <c r="B7902" i="1"/>
  <c r="A7903" i="1"/>
  <c r="B7903" i="1"/>
  <c r="A7904" i="1"/>
  <c r="B7904" i="1"/>
  <c r="A7905" i="1"/>
  <c r="B7905" i="1"/>
  <c r="A7906" i="1"/>
  <c r="B7906" i="1"/>
  <c r="A7907" i="1"/>
  <c r="B7907" i="1"/>
  <c r="A7908" i="1"/>
  <c r="B7908" i="1"/>
  <c r="A7909" i="1"/>
  <c r="B7909" i="1"/>
  <c r="A7910" i="1"/>
  <c r="B7910" i="1"/>
  <c r="A7911" i="1"/>
  <c r="B7911" i="1"/>
  <c r="A7912" i="1"/>
  <c r="B7912" i="1"/>
  <c r="A7913" i="1"/>
  <c r="B7913" i="1"/>
  <c r="A7914" i="1"/>
  <c r="B7914" i="1"/>
  <c r="A7915" i="1"/>
  <c r="A7916" i="1"/>
  <c r="B7916" i="1"/>
  <c r="A7917" i="1"/>
  <c r="B7917" i="1"/>
  <c r="A7918" i="1"/>
  <c r="B7918" i="1"/>
  <c r="A7919" i="1"/>
  <c r="B7919" i="1"/>
  <c r="A7920" i="1"/>
  <c r="A7921" i="1"/>
  <c r="B7921" i="1"/>
  <c r="A7922" i="1"/>
  <c r="A7923" i="1"/>
  <c r="B7923" i="1"/>
  <c r="A7924" i="1"/>
  <c r="A7925" i="1"/>
  <c r="B7925" i="1"/>
  <c r="A7926" i="1"/>
  <c r="B7926" i="1"/>
  <c r="A7927" i="1"/>
  <c r="A7928" i="1"/>
  <c r="B7928" i="1"/>
  <c r="A7929" i="1"/>
  <c r="B7929" i="1"/>
  <c r="A7930" i="1"/>
  <c r="B7930" i="1"/>
  <c r="A7931" i="1"/>
  <c r="B7931" i="1"/>
  <c r="A7932" i="1"/>
  <c r="B7932" i="1"/>
  <c r="A7933" i="1"/>
  <c r="B7933" i="1"/>
  <c r="A7934" i="1"/>
  <c r="B7934" i="1"/>
  <c r="A7935" i="1"/>
  <c r="A7936" i="1"/>
  <c r="B7936" i="1"/>
  <c r="A7937" i="1"/>
  <c r="B7937" i="1"/>
  <c r="A7938" i="1"/>
  <c r="A7939" i="1"/>
  <c r="B7939" i="1"/>
  <c r="A7940" i="1"/>
  <c r="B7940" i="1"/>
  <c r="A7941" i="1"/>
  <c r="B7941" i="1"/>
  <c r="A7942" i="1"/>
  <c r="B7942" i="1"/>
  <c r="A7943" i="1"/>
  <c r="B7943" i="1"/>
  <c r="A7944" i="1"/>
  <c r="A7945" i="1"/>
  <c r="B7945" i="1"/>
  <c r="A7946" i="1"/>
  <c r="B7946" i="1"/>
  <c r="A7947" i="1"/>
  <c r="A7948" i="1"/>
  <c r="B7948" i="1"/>
  <c r="A7949" i="1"/>
  <c r="B7949" i="1"/>
  <c r="A7950" i="1"/>
  <c r="B7950" i="1"/>
  <c r="A7951" i="1"/>
  <c r="B7951" i="1"/>
  <c r="A7952" i="1"/>
  <c r="A7953" i="1"/>
  <c r="B7953" i="1"/>
  <c r="A7954" i="1"/>
  <c r="B7954" i="1"/>
  <c r="A7955" i="1"/>
  <c r="B7955" i="1"/>
  <c r="A7956" i="1"/>
  <c r="B7956" i="1"/>
  <c r="A7957" i="1"/>
  <c r="B7957" i="1"/>
  <c r="A7958" i="1"/>
  <c r="B7958" i="1"/>
  <c r="A7959" i="1"/>
  <c r="A7960" i="1"/>
  <c r="B7960" i="1"/>
  <c r="A7961" i="1"/>
  <c r="B7961" i="1"/>
  <c r="A7962" i="1"/>
  <c r="A7963" i="1"/>
  <c r="B7963" i="1"/>
  <c r="A7964" i="1"/>
  <c r="B7964" i="1"/>
  <c r="A7965" i="1"/>
  <c r="A7966" i="1"/>
  <c r="B7966" i="1"/>
  <c r="A7967" i="1"/>
  <c r="B7967" i="1"/>
  <c r="A7968" i="1"/>
  <c r="A7969" i="1"/>
  <c r="B7969" i="1"/>
  <c r="A7970" i="1"/>
  <c r="A7971" i="1"/>
  <c r="B7971" i="1"/>
  <c r="A7972" i="1"/>
  <c r="B7972" i="1"/>
  <c r="A7973" i="1"/>
  <c r="B7973" i="1"/>
  <c r="A7974" i="1"/>
  <c r="B7974" i="1"/>
  <c r="A7975" i="1"/>
  <c r="B7975" i="1"/>
  <c r="A7976" i="1"/>
  <c r="B7976" i="1"/>
  <c r="A7977" i="1"/>
  <c r="B7977" i="1"/>
  <c r="A7978" i="1"/>
  <c r="B7978" i="1"/>
  <c r="A7979" i="1"/>
  <c r="B7979" i="1"/>
  <c r="A7980" i="1"/>
  <c r="B7980" i="1"/>
  <c r="A7981" i="1"/>
  <c r="A7982" i="1"/>
  <c r="B7982" i="1"/>
  <c r="A7983" i="1"/>
  <c r="B7983" i="1"/>
  <c r="A7984" i="1"/>
  <c r="B7984" i="1"/>
  <c r="A7985" i="1"/>
  <c r="B7985" i="1"/>
  <c r="A7986" i="1"/>
  <c r="A7987" i="1"/>
  <c r="B7987" i="1"/>
  <c r="A7988" i="1"/>
  <c r="B7988" i="1"/>
  <c r="A7989" i="1"/>
  <c r="B7989" i="1"/>
  <c r="A7990" i="1"/>
  <c r="B7990" i="1"/>
  <c r="A7991" i="1"/>
  <c r="B7991" i="1"/>
  <c r="A7992" i="1"/>
  <c r="B7992" i="1"/>
  <c r="A7993" i="1"/>
  <c r="B7993" i="1"/>
  <c r="A7994" i="1"/>
  <c r="B7994" i="1"/>
  <c r="A7995" i="1"/>
  <c r="B7995" i="1"/>
  <c r="A7996" i="1"/>
  <c r="B7996" i="1"/>
  <c r="A7997" i="1"/>
  <c r="B7997" i="1"/>
  <c r="A7998" i="1"/>
  <c r="B7998" i="1"/>
  <c r="A7999" i="1"/>
  <c r="B7999" i="1"/>
  <c r="A8000" i="1"/>
  <c r="B8000" i="1"/>
  <c r="A8001" i="1"/>
  <c r="B8001" i="1"/>
  <c r="A8002" i="1"/>
  <c r="A8003" i="1"/>
  <c r="B8003" i="1"/>
  <c r="A8004" i="1"/>
  <c r="B8004" i="1"/>
  <c r="A8005" i="1"/>
  <c r="B8005" i="1"/>
  <c r="A8006" i="1"/>
  <c r="B8006" i="1"/>
  <c r="A8007" i="1"/>
  <c r="B8007" i="1"/>
  <c r="A8008" i="1"/>
  <c r="B8008" i="1"/>
  <c r="A8009" i="1"/>
  <c r="B8009" i="1"/>
  <c r="A8010" i="1"/>
  <c r="B8010" i="1"/>
  <c r="A8011" i="1"/>
  <c r="B8011" i="1"/>
  <c r="A8012" i="1"/>
  <c r="B8012" i="1"/>
  <c r="A8013" i="1"/>
  <c r="B8013" i="1"/>
  <c r="A8014" i="1"/>
  <c r="B8014" i="1"/>
  <c r="A8015" i="1"/>
  <c r="B8015" i="1"/>
  <c r="A8016" i="1"/>
  <c r="B8016" i="1"/>
  <c r="A8017" i="1"/>
  <c r="B8017" i="1"/>
  <c r="A8018" i="1"/>
  <c r="A8019" i="1"/>
  <c r="B8019" i="1"/>
  <c r="A8020" i="1"/>
  <c r="A8021" i="1"/>
  <c r="B8021" i="1"/>
  <c r="A8022" i="1"/>
  <c r="B8022" i="1"/>
  <c r="A8023" i="1"/>
  <c r="B8023" i="1"/>
  <c r="A8024" i="1"/>
  <c r="B8024" i="1"/>
  <c r="A8025" i="1"/>
  <c r="B8025" i="1"/>
  <c r="A8026" i="1"/>
  <c r="A8027" i="1"/>
  <c r="B8027" i="1"/>
  <c r="A8028" i="1"/>
  <c r="B8028" i="1"/>
  <c r="A8029" i="1"/>
  <c r="B8029" i="1"/>
  <c r="A8030" i="1"/>
  <c r="B8030" i="1"/>
  <c r="A8031" i="1"/>
  <c r="B8031" i="1"/>
  <c r="A8032" i="1"/>
  <c r="A8033" i="1"/>
  <c r="A8034" i="1"/>
  <c r="B8034" i="1"/>
  <c r="A8035" i="1"/>
  <c r="A8036" i="1"/>
  <c r="A8037" i="1"/>
  <c r="A8038" i="1"/>
  <c r="A8039" i="1"/>
  <c r="B8039" i="1"/>
  <c r="A8040" i="1"/>
  <c r="B8040" i="1"/>
  <c r="A8041" i="1"/>
  <c r="B8041" i="1"/>
  <c r="A8042" i="1"/>
  <c r="A8043" i="1"/>
  <c r="A8044" i="1"/>
  <c r="B8044" i="1"/>
  <c r="A8045" i="1"/>
  <c r="B8045" i="1"/>
  <c r="A8046" i="1"/>
  <c r="B8046" i="1"/>
  <c r="A8047" i="1"/>
  <c r="B8047" i="1"/>
  <c r="A8048" i="1"/>
  <c r="A8049" i="1"/>
  <c r="B8049" i="1"/>
  <c r="A8050" i="1"/>
  <c r="B8050" i="1"/>
  <c r="A8051" i="1"/>
  <c r="B8051" i="1"/>
  <c r="A8052" i="1"/>
  <c r="B8052" i="1"/>
  <c r="A8053" i="1"/>
  <c r="B8053" i="1"/>
  <c r="A8054" i="1"/>
  <c r="B8054" i="1"/>
  <c r="A8055" i="1"/>
  <c r="B8055" i="1"/>
  <c r="A8056" i="1"/>
  <c r="B8056" i="1"/>
  <c r="A8057" i="1"/>
  <c r="B8057" i="1"/>
  <c r="A8058" i="1"/>
  <c r="A8059" i="1"/>
  <c r="A8060" i="1"/>
  <c r="B8060" i="1"/>
  <c r="A8061" i="1"/>
  <c r="B8061" i="1"/>
  <c r="A8062" i="1"/>
  <c r="B8062" i="1"/>
  <c r="A8063" i="1"/>
  <c r="A8064" i="1"/>
  <c r="B8064" i="1"/>
  <c r="A8065" i="1"/>
  <c r="A8066" i="1"/>
  <c r="B8066" i="1"/>
  <c r="A8067" i="1"/>
  <c r="B8067" i="1"/>
  <c r="A8068" i="1"/>
  <c r="B8068" i="1"/>
  <c r="A8069" i="1"/>
  <c r="B8069" i="1"/>
  <c r="A8070" i="1"/>
  <c r="A8071" i="1"/>
  <c r="B8071" i="1"/>
  <c r="A8072" i="1"/>
  <c r="A8073" i="1"/>
  <c r="B8073" i="1"/>
  <c r="A8074" i="1"/>
  <c r="B8074" i="1"/>
  <c r="A8075" i="1"/>
  <c r="B8075" i="1"/>
  <c r="A8076" i="1"/>
  <c r="B8076" i="1"/>
  <c r="A8077" i="1"/>
  <c r="A8078" i="1"/>
  <c r="B8078" i="1"/>
  <c r="A8079" i="1"/>
  <c r="A8080" i="1"/>
  <c r="B8080" i="1"/>
  <c r="A8081" i="1"/>
  <c r="A8082" i="1"/>
  <c r="A8083" i="1"/>
  <c r="A8084" i="1"/>
  <c r="A8085" i="1"/>
  <c r="A8086" i="1"/>
  <c r="B8086" i="1"/>
  <c r="A8087" i="1"/>
  <c r="A8088" i="1"/>
  <c r="A8089" i="1"/>
  <c r="A8090" i="1"/>
  <c r="B8090" i="1"/>
  <c r="A8091" i="1"/>
  <c r="B8091" i="1"/>
  <c r="A8092" i="1"/>
  <c r="B8092" i="1"/>
  <c r="A8093" i="1"/>
  <c r="A8094" i="1"/>
  <c r="A8095" i="1"/>
  <c r="A8096" i="1"/>
  <c r="B8096" i="1"/>
  <c r="A8097" i="1"/>
  <c r="A8098" i="1"/>
  <c r="B8098" i="1"/>
  <c r="A8099" i="1"/>
  <c r="B8099" i="1"/>
  <c r="A8100" i="1"/>
  <c r="B8100" i="1"/>
  <c r="A8101" i="1"/>
  <c r="B8101" i="1"/>
  <c r="A8102" i="1"/>
  <c r="B8102" i="1"/>
  <c r="A8103" i="1"/>
  <c r="B8103" i="1"/>
  <c r="A8104" i="1"/>
  <c r="A8105" i="1"/>
  <c r="B8105" i="1"/>
  <c r="A8106" i="1"/>
  <c r="B8106" i="1"/>
  <c r="A8107" i="1"/>
  <c r="B8107" i="1"/>
  <c r="A8108" i="1"/>
  <c r="A8109" i="1"/>
  <c r="B8109" i="1"/>
  <c r="A8110" i="1"/>
  <c r="B8110" i="1"/>
  <c r="A8111" i="1"/>
  <c r="B8111" i="1"/>
  <c r="A8112" i="1"/>
  <c r="B8112" i="1"/>
  <c r="A8113" i="1"/>
  <c r="B8113" i="1"/>
  <c r="A8114" i="1"/>
  <c r="B8114" i="1"/>
  <c r="A8115" i="1"/>
  <c r="B8115" i="1"/>
  <c r="A8116" i="1"/>
  <c r="B8116" i="1"/>
  <c r="A8117" i="1"/>
  <c r="B8117" i="1"/>
  <c r="A8118" i="1"/>
  <c r="B8118" i="1"/>
  <c r="A8119" i="1"/>
  <c r="B8119" i="1"/>
  <c r="A8120" i="1"/>
  <c r="B8120" i="1"/>
  <c r="A8121" i="1"/>
  <c r="B8121" i="1"/>
  <c r="A8122" i="1"/>
  <c r="B8122" i="1"/>
  <c r="A8123" i="1"/>
  <c r="B8123" i="1"/>
  <c r="A8124" i="1"/>
  <c r="A8125" i="1"/>
  <c r="B8125" i="1"/>
  <c r="A8126" i="1"/>
  <c r="B8126" i="1"/>
  <c r="A8127" i="1"/>
  <c r="B8127" i="1"/>
  <c r="A8128" i="1"/>
  <c r="A8129" i="1"/>
  <c r="A8130" i="1"/>
  <c r="A8131" i="1"/>
  <c r="A8132" i="1"/>
  <c r="B8132" i="1"/>
  <c r="A8133" i="1"/>
  <c r="B8133" i="1"/>
  <c r="A8134" i="1"/>
  <c r="B8134" i="1"/>
  <c r="A8135" i="1"/>
  <c r="A8136" i="1"/>
  <c r="B8136" i="1"/>
  <c r="A8137" i="1"/>
  <c r="A8138" i="1"/>
  <c r="B8138" i="1"/>
  <c r="A8139" i="1"/>
  <c r="B8139" i="1"/>
  <c r="A8140" i="1"/>
  <c r="B8140" i="1"/>
  <c r="A8141" i="1"/>
  <c r="B8141" i="1"/>
  <c r="A8142" i="1"/>
  <c r="A8143" i="1"/>
  <c r="B8143" i="1"/>
  <c r="A8144" i="1"/>
  <c r="B8144" i="1"/>
  <c r="A8145" i="1"/>
  <c r="B8145" i="1"/>
  <c r="A8146" i="1"/>
  <c r="B8146" i="1"/>
  <c r="A8147" i="1"/>
  <c r="B8147" i="1"/>
  <c r="A8148" i="1"/>
  <c r="A8149" i="1"/>
  <c r="B8149" i="1"/>
  <c r="A8150" i="1"/>
  <c r="B8150" i="1"/>
  <c r="A8151" i="1"/>
  <c r="B8151" i="1"/>
  <c r="A8152" i="1"/>
  <c r="B8152" i="1"/>
  <c r="A8153" i="1"/>
  <c r="B8153" i="1"/>
  <c r="A8154" i="1"/>
  <c r="B8154" i="1"/>
  <c r="A8155" i="1"/>
  <c r="A8156" i="1"/>
  <c r="B8156" i="1"/>
  <c r="A8157" i="1"/>
  <c r="B8157" i="1"/>
  <c r="A8158" i="1"/>
  <c r="A8159" i="1"/>
  <c r="A8160" i="1"/>
  <c r="B8160" i="1"/>
  <c r="A8161" i="1"/>
  <c r="B8161" i="1"/>
  <c r="A8162" i="1"/>
  <c r="B8162" i="1"/>
  <c r="A8163" i="1"/>
  <c r="B8163" i="1"/>
  <c r="A8164" i="1"/>
  <c r="B8164" i="1"/>
  <c r="A8165" i="1"/>
  <c r="B8165" i="1"/>
  <c r="A8166" i="1"/>
  <c r="B8166" i="1"/>
  <c r="A8167" i="1"/>
  <c r="B8167" i="1"/>
  <c r="A8168" i="1"/>
  <c r="B8168" i="1"/>
  <c r="A8169" i="1"/>
  <c r="A8170" i="1"/>
  <c r="B8170" i="1"/>
  <c r="A8171" i="1"/>
  <c r="B8171" i="1"/>
  <c r="A8172" i="1"/>
  <c r="B8172" i="1"/>
  <c r="A8173" i="1"/>
  <c r="A8174" i="1"/>
  <c r="A8175" i="1"/>
  <c r="A8176" i="1"/>
  <c r="A8177" i="1"/>
  <c r="B8177" i="1"/>
  <c r="A8178" i="1"/>
  <c r="B8178" i="1"/>
  <c r="A8179" i="1"/>
  <c r="B8179" i="1"/>
  <c r="A8180" i="1"/>
  <c r="A8181" i="1"/>
  <c r="B8181" i="1"/>
  <c r="A8182" i="1"/>
  <c r="A8183" i="1"/>
  <c r="A8184" i="1"/>
  <c r="B8184" i="1"/>
  <c r="A8185" i="1"/>
  <c r="A8186" i="1"/>
  <c r="A8187" i="1"/>
  <c r="B8187" i="1"/>
  <c r="A8188" i="1"/>
  <c r="B8188" i="1"/>
  <c r="A8189" i="1"/>
  <c r="B8189" i="1"/>
  <c r="A8190" i="1"/>
  <c r="B8190" i="1"/>
  <c r="A8191" i="1"/>
  <c r="B8191" i="1"/>
  <c r="A8192" i="1"/>
  <c r="B8192" i="1"/>
  <c r="A8193" i="1"/>
  <c r="A8194" i="1"/>
  <c r="B8194" i="1"/>
  <c r="A8195" i="1"/>
  <c r="B8195" i="1"/>
  <c r="A8196" i="1"/>
  <c r="B8196" i="1"/>
  <c r="A8197" i="1"/>
  <c r="B8197" i="1"/>
  <c r="A8198" i="1"/>
  <c r="B8198" i="1"/>
  <c r="A8199" i="1"/>
  <c r="B8199" i="1"/>
  <c r="A8200" i="1"/>
  <c r="B8200" i="1"/>
  <c r="A8201" i="1"/>
  <c r="B8201" i="1"/>
  <c r="A8202" i="1"/>
  <c r="B8202" i="1"/>
  <c r="A8203" i="1"/>
  <c r="A8204" i="1"/>
  <c r="A8205" i="1"/>
  <c r="B8205" i="1"/>
  <c r="A8206" i="1"/>
  <c r="A8207" i="1"/>
  <c r="B8207" i="1"/>
  <c r="A8208" i="1"/>
  <c r="B8208" i="1"/>
  <c r="A8209" i="1"/>
  <c r="B8209" i="1"/>
  <c r="A8210" i="1"/>
  <c r="B8210" i="1"/>
  <c r="A8211" i="1"/>
  <c r="B8211" i="1"/>
  <c r="A8212" i="1"/>
  <c r="B8212" i="1"/>
  <c r="A8213" i="1"/>
  <c r="B8213" i="1"/>
  <c r="A8214" i="1"/>
  <c r="A8215" i="1"/>
  <c r="A8216" i="1"/>
  <c r="A8217" i="1"/>
  <c r="A8218" i="1"/>
  <c r="A8219" i="1"/>
  <c r="A8220" i="1"/>
  <c r="A8221" i="1"/>
  <c r="B8221" i="1"/>
  <c r="A8222" i="1"/>
  <c r="B8222" i="1"/>
  <c r="A8223" i="1"/>
  <c r="B8223" i="1"/>
  <c r="A8224" i="1"/>
  <c r="B8224" i="1"/>
  <c r="A8225" i="1"/>
  <c r="B8225" i="1"/>
  <c r="A8226" i="1"/>
  <c r="B8226" i="1"/>
  <c r="A8227" i="1"/>
  <c r="B8227" i="1"/>
  <c r="A8228" i="1"/>
  <c r="B8228" i="1"/>
  <c r="A8229" i="1"/>
  <c r="A8230" i="1"/>
  <c r="A8231" i="1"/>
  <c r="B8231" i="1"/>
  <c r="A8232" i="1"/>
  <c r="B8232" i="1"/>
  <c r="A8233" i="1"/>
  <c r="B8233" i="1"/>
  <c r="A8234" i="1"/>
  <c r="B8234" i="1"/>
  <c r="A8235" i="1"/>
  <c r="B8235" i="1"/>
  <c r="A8236" i="1"/>
  <c r="B8236" i="1"/>
  <c r="A8237" i="1"/>
  <c r="A8238" i="1"/>
  <c r="B8238" i="1"/>
  <c r="A8239" i="1"/>
  <c r="B8239" i="1"/>
  <c r="A8240" i="1"/>
  <c r="A8241" i="1"/>
  <c r="A8242" i="1"/>
  <c r="B8242" i="1"/>
  <c r="A8243" i="1"/>
  <c r="A8244" i="1"/>
  <c r="A8245" i="1"/>
  <c r="A8246" i="1"/>
  <c r="B8246" i="1"/>
  <c r="A8247" i="1"/>
  <c r="B8247" i="1"/>
  <c r="A8248" i="1"/>
  <c r="A8249" i="1"/>
  <c r="B8249" i="1"/>
  <c r="A8250" i="1"/>
  <c r="B8250" i="1"/>
  <c r="A8251" i="1"/>
  <c r="B8251" i="1"/>
  <c r="A8252" i="1"/>
  <c r="B8252" i="1"/>
  <c r="A8253" i="1"/>
  <c r="B8253" i="1"/>
  <c r="A8254" i="1"/>
  <c r="A8255" i="1"/>
  <c r="A8256" i="1"/>
  <c r="A8257" i="1"/>
  <c r="B8257" i="1"/>
  <c r="A8258" i="1"/>
  <c r="B8258" i="1"/>
  <c r="A8259" i="1"/>
  <c r="A8260" i="1"/>
  <c r="B8260" i="1"/>
  <c r="A8261" i="1"/>
  <c r="B8261" i="1"/>
  <c r="A8262" i="1"/>
  <c r="B8262" i="1"/>
  <c r="A8263" i="1"/>
  <c r="B8263" i="1"/>
  <c r="A8264" i="1"/>
  <c r="B8264" i="1"/>
  <c r="A8265" i="1"/>
  <c r="B8265" i="1"/>
  <c r="A8266" i="1"/>
  <c r="B8266" i="1"/>
  <c r="A8267" i="1"/>
  <c r="B8267" i="1"/>
  <c r="A8268" i="1"/>
  <c r="B8268" i="1"/>
  <c r="A8269" i="1"/>
  <c r="B8269" i="1"/>
  <c r="A8270" i="1"/>
  <c r="B8270" i="1"/>
  <c r="A8271" i="1"/>
  <c r="A8272" i="1"/>
  <c r="B8272" i="1"/>
  <c r="A8273" i="1"/>
  <c r="B8273" i="1"/>
  <c r="A8274" i="1"/>
  <c r="A8275" i="1"/>
  <c r="B8275" i="1"/>
  <c r="A8276" i="1"/>
  <c r="A8277" i="1"/>
  <c r="A8278" i="1"/>
  <c r="B8278" i="1"/>
  <c r="A8279" i="1"/>
  <c r="B8279" i="1"/>
  <c r="A8280" i="1"/>
  <c r="B8280" i="1"/>
  <c r="A8281" i="1"/>
  <c r="A8282" i="1"/>
  <c r="B8282" i="1"/>
  <c r="A8283" i="1"/>
  <c r="B8283" i="1"/>
  <c r="A8284" i="1"/>
  <c r="A8285" i="1"/>
  <c r="B8285" i="1"/>
  <c r="A8286" i="1"/>
  <c r="B8286" i="1"/>
  <c r="A8287" i="1"/>
  <c r="B8287" i="1"/>
  <c r="A8288" i="1"/>
  <c r="A8289" i="1"/>
  <c r="B8289" i="1"/>
  <c r="A8290" i="1"/>
  <c r="B8290" i="1"/>
  <c r="A8291" i="1"/>
  <c r="B8291" i="1"/>
  <c r="A8292" i="1"/>
  <c r="A8293" i="1"/>
  <c r="B8293" i="1"/>
  <c r="A8294" i="1"/>
  <c r="A8295" i="1"/>
  <c r="B8295" i="1"/>
  <c r="A8296" i="1"/>
  <c r="B8296" i="1"/>
  <c r="A8297" i="1"/>
  <c r="B8297" i="1"/>
  <c r="A8298" i="1"/>
  <c r="B8298" i="1"/>
  <c r="A8299" i="1"/>
  <c r="B8299" i="1"/>
  <c r="A8300" i="1"/>
  <c r="B8300" i="1"/>
  <c r="A8301" i="1"/>
  <c r="A8302" i="1"/>
  <c r="A8303" i="1"/>
  <c r="B8303" i="1"/>
  <c r="A8304" i="1"/>
  <c r="B8304" i="1"/>
  <c r="A8305" i="1"/>
  <c r="B8305" i="1"/>
  <c r="A8306" i="1"/>
  <c r="B8306" i="1"/>
  <c r="A8307" i="1"/>
  <c r="B8307" i="1"/>
  <c r="A8308" i="1"/>
  <c r="B8308" i="1"/>
  <c r="A8309" i="1"/>
  <c r="B8309" i="1"/>
  <c r="A8310" i="1"/>
  <c r="B8310" i="1"/>
  <c r="A8311" i="1"/>
  <c r="B8311" i="1"/>
  <c r="A8312" i="1"/>
  <c r="A8313" i="1"/>
  <c r="B8313" i="1"/>
  <c r="A8314" i="1"/>
  <c r="B8314" i="1"/>
  <c r="A8315" i="1"/>
  <c r="B8315" i="1"/>
  <c r="A8316" i="1"/>
  <c r="B8316" i="1"/>
  <c r="A8317" i="1"/>
  <c r="B8317" i="1"/>
  <c r="A8318" i="1"/>
  <c r="B8318" i="1"/>
  <c r="A8319" i="1"/>
  <c r="B8319" i="1"/>
  <c r="A8320" i="1"/>
  <c r="A8321" i="1"/>
  <c r="B8321" i="1"/>
  <c r="A8322" i="1"/>
  <c r="B8322" i="1"/>
  <c r="A8323" i="1"/>
  <c r="A8324" i="1"/>
  <c r="B8324" i="1"/>
  <c r="A8325" i="1"/>
  <c r="B8325" i="1"/>
  <c r="A8326" i="1"/>
  <c r="B8326" i="1"/>
  <c r="A8327" i="1"/>
  <c r="B8327" i="1"/>
  <c r="A8328" i="1"/>
  <c r="B8328" i="1"/>
  <c r="A8329" i="1"/>
  <c r="A8330" i="1"/>
  <c r="A8331" i="1"/>
  <c r="B8331" i="1"/>
  <c r="A8332" i="1"/>
  <c r="B8332" i="1"/>
  <c r="A8333" i="1"/>
  <c r="B8333" i="1"/>
  <c r="A8334" i="1"/>
  <c r="A8335" i="1"/>
  <c r="B8335" i="1"/>
  <c r="A8336" i="1"/>
  <c r="B8336" i="1"/>
  <c r="A8337" i="1"/>
  <c r="B8337" i="1"/>
  <c r="A8338" i="1"/>
  <c r="B8338" i="1"/>
  <c r="A8339" i="1"/>
  <c r="B8339" i="1"/>
  <c r="A8340" i="1"/>
  <c r="B8340" i="1"/>
  <c r="A8341" i="1"/>
  <c r="B8341" i="1"/>
  <c r="A8342" i="1"/>
  <c r="B8342" i="1"/>
  <c r="A8343" i="1"/>
  <c r="A8344" i="1"/>
  <c r="B8344" i="1"/>
  <c r="A8345" i="1"/>
  <c r="B8345" i="1"/>
  <c r="A8346" i="1"/>
  <c r="B8346" i="1"/>
  <c r="A8347" i="1"/>
  <c r="B8347" i="1"/>
  <c r="A8348" i="1"/>
  <c r="B8348" i="1"/>
  <c r="A8349" i="1"/>
  <c r="A8350" i="1"/>
  <c r="B8350" i="1"/>
  <c r="A8351" i="1"/>
  <c r="B8351" i="1"/>
  <c r="A8352" i="1"/>
  <c r="B8352" i="1"/>
  <c r="A8353" i="1"/>
  <c r="B8353" i="1"/>
  <c r="A8354" i="1"/>
  <c r="B8354" i="1"/>
  <c r="A8355" i="1"/>
  <c r="B8355" i="1"/>
  <c r="A8356" i="1"/>
  <c r="A8357" i="1"/>
  <c r="A8358" i="1"/>
  <c r="A8359" i="1"/>
  <c r="A8360" i="1"/>
  <c r="A8361" i="1"/>
  <c r="A8362" i="1"/>
  <c r="A8363" i="1"/>
  <c r="A8364" i="1"/>
  <c r="B8364" i="1"/>
  <c r="A8365" i="1"/>
  <c r="B8365" i="1"/>
  <c r="A8366" i="1"/>
  <c r="B8366" i="1"/>
  <c r="A8367" i="1"/>
  <c r="B8367" i="1"/>
  <c r="A8368" i="1"/>
  <c r="B8368" i="1"/>
  <c r="A8369" i="1"/>
  <c r="B8369" i="1"/>
  <c r="A8370" i="1"/>
  <c r="B8370" i="1"/>
  <c r="A8371" i="1"/>
  <c r="B8371" i="1"/>
  <c r="A8372" i="1"/>
  <c r="B8372" i="1"/>
  <c r="A8373" i="1"/>
  <c r="B8373" i="1"/>
  <c r="A8374" i="1"/>
  <c r="B8374" i="1"/>
  <c r="A8375" i="1"/>
  <c r="B8375" i="1"/>
  <c r="A8376" i="1"/>
  <c r="B8376" i="1"/>
  <c r="A8377" i="1"/>
  <c r="B8377" i="1"/>
  <c r="A8378" i="1"/>
  <c r="B8378" i="1"/>
  <c r="A8379" i="1"/>
  <c r="B8379" i="1"/>
  <c r="A8380" i="1"/>
  <c r="B8380" i="1"/>
  <c r="A8381" i="1"/>
  <c r="B8381" i="1"/>
  <c r="A8382" i="1"/>
  <c r="A8383" i="1"/>
  <c r="B8383" i="1"/>
  <c r="A8384" i="1"/>
  <c r="B8384" i="1"/>
  <c r="A8385" i="1"/>
  <c r="B8385" i="1"/>
  <c r="A8386" i="1"/>
  <c r="B8386" i="1"/>
  <c r="A8387" i="1"/>
  <c r="B8387" i="1"/>
  <c r="A8388" i="1"/>
  <c r="B8388" i="1"/>
  <c r="A8389" i="1"/>
  <c r="B8389" i="1"/>
  <c r="A8390" i="1"/>
  <c r="B8390" i="1"/>
  <c r="A8391" i="1"/>
  <c r="B8391" i="1"/>
  <c r="A8392" i="1"/>
  <c r="B8392" i="1"/>
  <c r="A8393" i="1"/>
  <c r="B8393" i="1"/>
  <c r="A8394" i="1"/>
  <c r="B8394" i="1"/>
  <c r="A8395" i="1"/>
  <c r="B8395" i="1"/>
  <c r="A8396" i="1"/>
  <c r="B8396" i="1"/>
  <c r="A8397" i="1"/>
  <c r="B8397" i="1"/>
  <c r="A8398" i="1"/>
  <c r="B8398" i="1"/>
  <c r="A8399" i="1"/>
  <c r="B8399" i="1"/>
  <c r="A8400" i="1"/>
  <c r="A8401" i="1"/>
  <c r="B8401" i="1"/>
  <c r="A8402" i="1"/>
  <c r="B8402" i="1"/>
  <c r="A8403" i="1"/>
  <c r="B8403" i="1"/>
  <c r="A8404" i="1"/>
  <c r="B8404" i="1"/>
  <c r="A8405" i="1"/>
  <c r="B8405" i="1"/>
  <c r="A8406" i="1"/>
  <c r="B8406" i="1"/>
  <c r="A8407" i="1"/>
  <c r="B8407" i="1"/>
  <c r="A8408" i="1"/>
  <c r="B8408" i="1"/>
  <c r="A8409" i="1"/>
  <c r="B8409" i="1"/>
  <c r="A8410" i="1"/>
  <c r="B8410" i="1"/>
  <c r="A8411" i="1"/>
  <c r="B8411" i="1"/>
  <c r="A8412" i="1"/>
  <c r="B8412" i="1"/>
  <c r="A8413" i="1"/>
  <c r="B8413" i="1"/>
  <c r="A8414" i="1"/>
  <c r="B8414" i="1"/>
  <c r="A8415" i="1"/>
  <c r="B8415" i="1"/>
  <c r="A8416" i="1"/>
  <c r="B8416" i="1"/>
  <c r="A8417" i="1"/>
  <c r="B8417" i="1"/>
  <c r="A8418" i="1"/>
  <c r="B8418" i="1"/>
  <c r="A8419" i="1"/>
  <c r="B8419" i="1"/>
  <c r="A8420" i="1"/>
  <c r="B8420" i="1"/>
  <c r="A8421" i="1"/>
  <c r="B8421" i="1"/>
  <c r="A8422" i="1"/>
  <c r="B8422" i="1"/>
  <c r="A8423" i="1"/>
  <c r="B8423" i="1"/>
  <c r="A8424" i="1"/>
  <c r="B8424" i="1"/>
  <c r="A8425" i="1"/>
  <c r="B8425" i="1"/>
  <c r="A8426" i="1"/>
  <c r="B8426" i="1"/>
  <c r="A8427" i="1"/>
  <c r="B8427" i="1"/>
  <c r="A8428" i="1"/>
  <c r="B8428" i="1"/>
  <c r="A8429" i="1"/>
  <c r="B8429" i="1"/>
  <c r="A8430" i="1"/>
  <c r="B8430" i="1"/>
  <c r="A8431" i="1"/>
  <c r="B8431" i="1"/>
  <c r="A8432" i="1"/>
  <c r="B8432" i="1"/>
  <c r="A8433" i="1"/>
  <c r="B8433" i="1"/>
  <c r="A8434" i="1"/>
  <c r="B8434" i="1"/>
  <c r="A8435" i="1"/>
  <c r="B8435" i="1"/>
  <c r="A8436" i="1"/>
  <c r="B8436" i="1"/>
  <c r="A8437" i="1"/>
  <c r="A8438" i="1"/>
  <c r="B8438" i="1"/>
  <c r="A8439" i="1"/>
  <c r="B8439" i="1"/>
  <c r="A8440" i="1"/>
  <c r="B8440" i="1"/>
  <c r="A8441" i="1"/>
  <c r="B8441" i="1"/>
  <c r="A8442" i="1"/>
  <c r="B8442" i="1"/>
  <c r="A8443" i="1"/>
  <c r="B8443" i="1"/>
  <c r="A8444" i="1"/>
  <c r="B8444" i="1"/>
  <c r="A8445" i="1"/>
  <c r="B8445" i="1"/>
  <c r="A8446" i="1"/>
  <c r="B8446" i="1"/>
  <c r="A8447" i="1"/>
  <c r="B8447" i="1"/>
  <c r="A8448" i="1"/>
  <c r="A8449" i="1"/>
  <c r="B8449" i="1"/>
  <c r="A8450" i="1"/>
  <c r="A8451" i="1"/>
  <c r="B8451" i="1"/>
  <c r="A8452" i="1"/>
  <c r="B8452" i="1"/>
  <c r="A8453" i="1"/>
  <c r="B8453" i="1"/>
  <c r="A8454" i="1"/>
  <c r="B8454" i="1"/>
  <c r="A8455" i="1"/>
  <c r="B8455" i="1"/>
  <c r="A8456" i="1"/>
  <c r="A8457" i="1"/>
  <c r="A8458" i="1"/>
  <c r="B8458" i="1"/>
  <c r="A8459" i="1"/>
  <c r="B8459" i="1"/>
  <c r="A8460" i="1"/>
  <c r="B8460" i="1"/>
  <c r="A8461" i="1"/>
  <c r="B8461" i="1"/>
  <c r="A8462" i="1"/>
  <c r="B8462" i="1"/>
  <c r="A8463" i="1"/>
  <c r="B8463" i="1"/>
  <c r="A8464" i="1"/>
  <c r="B8464" i="1"/>
  <c r="A8465" i="1"/>
  <c r="B8465" i="1"/>
  <c r="A8466" i="1"/>
  <c r="A8467" i="1"/>
  <c r="A8468" i="1"/>
  <c r="A8469" i="1"/>
  <c r="A8470" i="1"/>
  <c r="B8470" i="1"/>
  <c r="A8471" i="1"/>
  <c r="B8471" i="1"/>
  <c r="A8472" i="1"/>
  <c r="A8473" i="1"/>
  <c r="B8473" i="1"/>
  <c r="A8474" i="1"/>
  <c r="A8475" i="1"/>
  <c r="A8476" i="1"/>
  <c r="B8476" i="1"/>
  <c r="A8477" i="1"/>
  <c r="A8478" i="1"/>
  <c r="B8478" i="1"/>
  <c r="A8479" i="1"/>
  <c r="A8480" i="1"/>
  <c r="B8480" i="1"/>
  <c r="A8481" i="1"/>
  <c r="A8482" i="1"/>
  <c r="B8482" i="1"/>
  <c r="A8483" i="1"/>
  <c r="B8483" i="1"/>
  <c r="A8484" i="1"/>
  <c r="B8484" i="1"/>
  <c r="A8485" i="1"/>
  <c r="B8485" i="1"/>
  <c r="A8486" i="1"/>
  <c r="B8486" i="1"/>
  <c r="A8487" i="1"/>
  <c r="B8487" i="1"/>
  <c r="A8488" i="1"/>
  <c r="B8488" i="1"/>
  <c r="A8489" i="1"/>
  <c r="B8489" i="1"/>
  <c r="A8490" i="1"/>
  <c r="B8490" i="1"/>
  <c r="A8491" i="1"/>
  <c r="B8491" i="1"/>
  <c r="A8492" i="1"/>
  <c r="A8493" i="1"/>
  <c r="B8493" i="1"/>
  <c r="A8494" i="1"/>
  <c r="B8494" i="1"/>
  <c r="A8495" i="1"/>
  <c r="B8495" i="1"/>
  <c r="A8496" i="1"/>
  <c r="A8497" i="1"/>
  <c r="A8498" i="1"/>
  <c r="B8498" i="1"/>
  <c r="A8499" i="1"/>
  <c r="B8499" i="1"/>
  <c r="A8500" i="1"/>
  <c r="B8500" i="1"/>
  <c r="A8501" i="1"/>
  <c r="B8501" i="1"/>
  <c r="A8502" i="1"/>
  <c r="B8502" i="1"/>
  <c r="A8503" i="1"/>
  <c r="B8503" i="1"/>
  <c r="A8504" i="1"/>
  <c r="A8505" i="1"/>
  <c r="B8505" i="1"/>
  <c r="A8506" i="1"/>
  <c r="A8507" i="1"/>
  <c r="A8508" i="1"/>
  <c r="B8508" i="1"/>
  <c r="A8509" i="1"/>
  <c r="A8510" i="1"/>
  <c r="A8511" i="1"/>
  <c r="A8512" i="1"/>
  <c r="B8512" i="1"/>
  <c r="A8513" i="1"/>
  <c r="B8513" i="1"/>
  <c r="A8514" i="1"/>
  <c r="B8514" i="1"/>
  <c r="A8515" i="1"/>
  <c r="A8516" i="1"/>
  <c r="B8516" i="1"/>
  <c r="A8517" i="1"/>
  <c r="B8517" i="1"/>
  <c r="A8518" i="1"/>
  <c r="B8518" i="1"/>
  <c r="A8519" i="1"/>
  <c r="B8519" i="1"/>
  <c r="A8520" i="1"/>
  <c r="B8520" i="1"/>
  <c r="A8521" i="1"/>
  <c r="B8521" i="1"/>
  <c r="A8522" i="1"/>
  <c r="B8522" i="1"/>
  <c r="A8523" i="1"/>
  <c r="B8523" i="1"/>
  <c r="A8524" i="1"/>
  <c r="A8525" i="1"/>
  <c r="B8525" i="1"/>
  <c r="A8526" i="1"/>
  <c r="B8526" i="1"/>
  <c r="A8527" i="1"/>
  <c r="B8527" i="1"/>
  <c r="A8528" i="1"/>
  <c r="B8528" i="1"/>
  <c r="A8529" i="1"/>
  <c r="A8530" i="1"/>
  <c r="B8530" i="1"/>
  <c r="A8531" i="1"/>
  <c r="B8531" i="1"/>
  <c r="A8532" i="1"/>
  <c r="B8532" i="1"/>
  <c r="A8533" i="1"/>
  <c r="A8534" i="1"/>
  <c r="B8534" i="1"/>
  <c r="A8535" i="1"/>
  <c r="B8535" i="1"/>
  <c r="A8536" i="1"/>
  <c r="B8536" i="1"/>
  <c r="A8537" i="1"/>
  <c r="B8537" i="1"/>
  <c r="A8538" i="1"/>
  <c r="B8538" i="1"/>
  <c r="A8539" i="1"/>
  <c r="A8540" i="1"/>
  <c r="B8540" i="1"/>
  <c r="A8541" i="1"/>
  <c r="B8541" i="1"/>
  <c r="A8542" i="1"/>
  <c r="A8543" i="1"/>
  <c r="A8544" i="1"/>
  <c r="A8545" i="1"/>
  <c r="A8546" i="1"/>
  <c r="B8546" i="1"/>
  <c r="A8547" i="1"/>
  <c r="B8547" i="1"/>
  <c r="A8548" i="1"/>
  <c r="A8549" i="1"/>
  <c r="B8549" i="1"/>
  <c r="A8550" i="1"/>
  <c r="B8550" i="1"/>
  <c r="A8551" i="1"/>
  <c r="A8552" i="1"/>
  <c r="B8552" i="1"/>
  <c r="A8553" i="1"/>
  <c r="B8553" i="1"/>
  <c r="A8554" i="1"/>
  <c r="A8555" i="1"/>
  <c r="A8556" i="1"/>
  <c r="B8556" i="1"/>
  <c r="A8557" i="1"/>
  <c r="B8557" i="1"/>
  <c r="A8558" i="1"/>
  <c r="B8558" i="1"/>
  <c r="A8559" i="1"/>
  <c r="A8560" i="1"/>
  <c r="B8560" i="1"/>
  <c r="A8561" i="1"/>
  <c r="B8561" i="1"/>
  <c r="A8562" i="1"/>
  <c r="B8562" i="1"/>
  <c r="A8563" i="1"/>
  <c r="A8564" i="1"/>
  <c r="A8565" i="1"/>
  <c r="A8566" i="1"/>
  <c r="B8566" i="1"/>
  <c r="A8567" i="1"/>
  <c r="B8567" i="1"/>
  <c r="A8568" i="1"/>
  <c r="B8568" i="1"/>
  <c r="A8569" i="1"/>
  <c r="B8569" i="1"/>
  <c r="A8570" i="1"/>
  <c r="B8570" i="1"/>
  <c r="A8571" i="1"/>
  <c r="B8571" i="1"/>
  <c r="A8572" i="1"/>
  <c r="A8573" i="1"/>
  <c r="B8573" i="1"/>
  <c r="A8574" i="1"/>
  <c r="B8574" i="1"/>
  <c r="A8575" i="1"/>
  <c r="B8575" i="1"/>
  <c r="A8576" i="1"/>
  <c r="B8576" i="1"/>
  <c r="A8577" i="1"/>
  <c r="B8577" i="1"/>
  <c r="A8578" i="1"/>
  <c r="B8578" i="1"/>
  <c r="A8579" i="1"/>
  <c r="B8579" i="1"/>
  <c r="A8580" i="1"/>
  <c r="B8580" i="1"/>
  <c r="A8581" i="1"/>
  <c r="B8581" i="1"/>
  <c r="A8582" i="1"/>
  <c r="A8583" i="1"/>
  <c r="B8583" i="1"/>
  <c r="A8584" i="1"/>
  <c r="B8584" i="1"/>
  <c r="A8585" i="1"/>
  <c r="B8585" i="1"/>
  <c r="A8586" i="1"/>
  <c r="B8586" i="1"/>
  <c r="A8587" i="1"/>
  <c r="B8587" i="1"/>
  <c r="A8588" i="1"/>
  <c r="B8588" i="1"/>
  <c r="A8589" i="1"/>
  <c r="B8589" i="1"/>
  <c r="A8590" i="1"/>
  <c r="B8590" i="1"/>
  <c r="A8591" i="1"/>
  <c r="B8591" i="1"/>
  <c r="A8592" i="1"/>
  <c r="B8592" i="1"/>
  <c r="A8593" i="1"/>
  <c r="B8593" i="1"/>
  <c r="A8594" i="1"/>
  <c r="B8594" i="1"/>
  <c r="A8595" i="1"/>
  <c r="B8595" i="1"/>
  <c r="A8596" i="1"/>
  <c r="B8596" i="1"/>
  <c r="A8597" i="1"/>
  <c r="B8597" i="1"/>
  <c r="A8598" i="1"/>
  <c r="B8598" i="1"/>
  <c r="A8599" i="1"/>
  <c r="B8599" i="1"/>
  <c r="A8600" i="1"/>
  <c r="A8601" i="1"/>
  <c r="B8601" i="1"/>
  <c r="A8602" i="1"/>
  <c r="B8602" i="1"/>
  <c r="A8603" i="1"/>
  <c r="B8603" i="1"/>
  <c r="A8604" i="1"/>
  <c r="A8605" i="1"/>
  <c r="A8606" i="1"/>
  <c r="A8607" i="1"/>
  <c r="B8607" i="1"/>
  <c r="A8608" i="1"/>
  <c r="B8608" i="1"/>
  <c r="A8609" i="1"/>
  <c r="B8609" i="1"/>
  <c r="A8610" i="1"/>
  <c r="B8610" i="1"/>
  <c r="A8611" i="1"/>
  <c r="B8611" i="1"/>
  <c r="A8612" i="1"/>
  <c r="B8612" i="1"/>
  <c r="A8613" i="1"/>
  <c r="B8613" i="1"/>
  <c r="A8614" i="1"/>
  <c r="B8614" i="1"/>
  <c r="A8615" i="1"/>
  <c r="B8615" i="1"/>
  <c r="A8616" i="1"/>
  <c r="B8616" i="1"/>
  <c r="A8617" i="1"/>
  <c r="A8618" i="1"/>
  <c r="B8618" i="1"/>
  <c r="A8619" i="1"/>
  <c r="B8619" i="1"/>
  <c r="A8620" i="1"/>
  <c r="B8620" i="1"/>
  <c r="A8621" i="1"/>
  <c r="B8621" i="1"/>
  <c r="A8622" i="1"/>
  <c r="B8622" i="1"/>
  <c r="A8623" i="1"/>
  <c r="B8623" i="1"/>
  <c r="A8624" i="1"/>
  <c r="B8624" i="1"/>
  <c r="A8625" i="1"/>
  <c r="B8625" i="1"/>
  <c r="A8626" i="1"/>
  <c r="B8626" i="1"/>
  <c r="A8627" i="1"/>
  <c r="B8627" i="1"/>
  <c r="A8628" i="1"/>
  <c r="B8628" i="1"/>
  <c r="A8629" i="1"/>
  <c r="B8629" i="1"/>
  <c r="A8630" i="1"/>
  <c r="B8630" i="1"/>
  <c r="A8631" i="1"/>
  <c r="B8631" i="1"/>
  <c r="A8632" i="1"/>
  <c r="B8632" i="1"/>
  <c r="A8633" i="1"/>
  <c r="B8633" i="1"/>
  <c r="A8634" i="1"/>
  <c r="B8634" i="1"/>
  <c r="A8635" i="1"/>
  <c r="B8635" i="1"/>
  <c r="A8636" i="1"/>
  <c r="B8636" i="1"/>
  <c r="A8637" i="1"/>
  <c r="A8638" i="1"/>
  <c r="A8639" i="1"/>
  <c r="B8639" i="1"/>
  <c r="A8640" i="1"/>
  <c r="A8641" i="1"/>
  <c r="A8642" i="1"/>
  <c r="B8642" i="1"/>
  <c r="A8643" i="1"/>
  <c r="B8643" i="1"/>
  <c r="A8644" i="1"/>
  <c r="B8644" i="1"/>
  <c r="A8645" i="1"/>
  <c r="B8645" i="1"/>
  <c r="A8646" i="1"/>
  <c r="B8646" i="1"/>
  <c r="A8647" i="1"/>
  <c r="B8647" i="1"/>
  <c r="A8648" i="1"/>
  <c r="B8648" i="1"/>
  <c r="A8649" i="1"/>
  <c r="B8649" i="1"/>
  <c r="A8650" i="1"/>
  <c r="B8650" i="1"/>
  <c r="A8651" i="1"/>
  <c r="B8651" i="1"/>
  <c r="A8652" i="1"/>
  <c r="B8652" i="1"/>
  <c r="A8653" i="1"/>
  <c r="B8653" i="1"/>
  <c r="A8654" i="1"/>
  <c r="B8654" i="1"/>
  <c r="A8655" i="1"/>
  <c r="B8655" i="1"/>
  <c r="A8656" i="1"/>
  <c r="A8657" i="1"/>
  <c r="B8657" i="1"/>
  <c r="A8658" i="1"/>
  <c r="B8658" i="1"/>
  <c r="A8659" i="1"/>
  <c r="B8659" i="1"/>
  <c r="A8660" i="1"/>
  <c r="B8660" i="1"/>
  <c r="A8661" i="1"/>
  <c r="B8661" i="1"/>
  <c r="A8662" i="1"/>
  <c r="B8662" i="1"/>
  <c r="A8663" i="1"/>
  <c r="B8663" i="1"/>
  <c r="A8664" i="1"/>
  <c r="B8664" i="1"/>
  <c r="A8665" i="1"/>
  <c r="B8665" i="1"/>
  <c r="A8666" i="1"/>
  <c r="B8666" i="1"/>
  <c r="A8667" i="1"/>
  <c r="B8667" i="1"/>
  <c r="A8668" i="1"/>
  <c r="B8668" i="1"/>
  <c r="A8669" i="1"/>
  <c r="A8670" i="1"/>
  <c r="A8671" i="1"/>
  <c r="A8672" i="1"/>
  <c r="A8673" i="1"/>
  <c r="A8674" i="1"/>
  <c r="A8675" i="1"/>
  <c r="A8676" i="1"/>
  <c r="A8677" i="1"/>
  <c r="A8678" i="1"/>
  <c r="B8678" i="1"/>
  <c r="A8679" i="1"/>
  <c r="B8679" i="1"/>
  <c r="A8680" i="1"/>
  <c r="A8681" i="1"/>
  <c r="A8682" i="1"/>
  <c r="A8683" i="1"/>
  <c r="A8684" i="1"/>
  <c r="A8685" i="1"/>
  <c r="B8685" i="1"/>
  <c r="A8686" i="1"/>
  <c r="B8686" i="1"/>
  <c r="A8687" i="1"/>
  <c r="A8688" i="1"/>
  <c r="B8688" i="1"/>
  <c r="A8689" i="1"/>
  <c r="B8689" i="1"/>
  <c r="A8690" i="1"/>
  <c r="B8690" i="1"/>
  <c r="A8691" i="1"/>
  <c r="B8691" i="1"/>
  <c r="A8692" i="1"/>
  <c r="B8692" i="1"/>
  <c r="A8693" i="1"/>
  <c r="B8693" i="1"/>
  <c r="A8694" i="1"/>
  <c r="B8694" i="1"/>
  <c r="A8695" i="1"/>
  <c r="B8695" i="1"/>
  <c r="A8696" i="1"/>
  <c r="B8696" i="1"/>
  <c r="A8697" i="1"/>
  <c r="B8697" i="1"/>
  <c r="A8698" i="1"/>
  <c r="B8698" i="1"/>
  <c r="A8699" i="1"/>
  <c r="B8699" i="1"/>
  <c r="A8700" i="1"/>
  <c r="B8700" i="1"/>
  <c r="A8701" i="1"/>
  <c r="B8701" i="1"/>
  <c r="A8702" i="1"/>
  <c r="B8702" i="1"/>
  <c r="A8703" i="1"/>
  <c r="B8703" i="1"/>
  <c r="A8704" i="1"/>
  <c r="B8704" i="1"/>
  <c r="A8705" i="1"/>
  <c r="B8705" i="1"/>
  <c r="A8706" i="1"/>
  <c r="A8707" i="1"/>
  <c r="B8707" i="1"/>
  <c r="A8708" i="1"/>
  <c r="B8708" i="1"/>
  <c r="A8709" i="1"/>
  <c r="B8709" i="1"/>
  <c r="A8710" i="1"/>
  <c r="B8710" i="1"/>
  <c r="A8711" i="1"/>
  <c r="B8711" i="1"/>
  <c r="A8712" i="1"/>
  <c r="A8713" i="1"/>
  <c r="B8713" i="1"/>
  <c r="A8714" i="1"/>
  <c r="B8714" i="1"/>
  <c r="A8715" i="1"/>
  <c r="B8715" i="1"/>
  <c r="A8716" i="1"/>
  <c r="B8716" i="1"/>
  <c r="A8717" i="1"/>
  <c r="B8717" i="1"/>
  <c r="A8718" i="1"/>
  <c r="B8718" i="1"/>
  <c r="A8719" i="1"/>
  <c r="B8719" i="1"/>
  <c r="A8720" i="1"/>
  <c r="B8720" i="1"/>
  <c r="A8721" i="1"/>
  <c r="B8721" i="1"/>
  <c r="A8722" i="1"/>
  <c r="B8722" i="1"/>
  <c r="A8723" i="1"/>
  <c r="B8723" i="1"/>
  <c r="A8724" i="1"/>
  <c r="A8725" i="1"/>
  <c r="B8725" i="1"/>
  <c r="A8726" i="1"/>
  <c r="B8726" i="1"/>
  <c r="A8727" i="1"/>
  <c r="B8727" i="1"/>
  <c r="A8728" i="1"/>
  <c r="B8728" i="1"/>
  <c r="A8729" i="1"/>
  <c r="B8729" i="1"/>
  <c r="A8730" i="1"/>
  <c r="B8730" i="1"/>
  <c r="A8731" i="1"/>
  <c r="B8731" i="1"/>
  <c r="A8732" i="1"/>
  <c r="B8732" i="1"/>
  <c r="A8733" i="1"/>
  <c r="B8733" i="1"/>
  <c r="A8734" i="1"/>
  <c r="B8734" i="1"/>
  <c r="A8735" i="1"/>
  <c r="B8735" i="1"/>
  <c r="A8736" i="1"/>
  <c r="B8736" i="1"/>
  <c r="A8737" i="1"/>
  <c r="B8737" i="1"/>
  <c r="A8738" i="1"/>
  <c r="B8738" i="1"/>
  <c r="A8739" i="1"/>
  <c r="B8739" i="1"/>
  <c r="A8740" i="1"/>
  <c r="B8740" i="1"/>
  <c r="A8741" i="1"/>
  <c r="A8742" i="1"/>
  <c r="B8742" i="1"/>
  <c r="A8743" i="1"/>
  <c r="A8744" i="1"/>
  <c r="A8745" i="1"/>
  <c r="B8745" i="1"/>
  <c r="A8746" i="1"/>
  <c r="A8747" i="1"/>
  <c r="B8747" i="1"/>
  <c r="A8748" i="1"/>
  <c r="B8748" i="1"/>
  <c r="A8749" i="1"/>
  <c r="B8749" i="1"/>
  <c r="A8750" i="1"/>
  <c r="B8750" i="1"/>
  <c r="A8751" i="1"/>
  <c r="B8751" i="1"/>
  <c r="A8752" i="1"/>
  <c r="B8752" i="1"/>
  <c r="A8753" i="1"/>
  <c r="B8753" i="1"/>
  <c r="A8754" i="1"/>
  <c r="B8754" i="1"/>
  <c r="A8755" i="1"/>
  <c r="A8756" i="1"/>
  <c r="B8756" i="1"/>
  <c r="A8757" i="1"/>
  <c r="B8757" i="1"/>
  <c r="A8758" i="1"/>
  <c r="B8758" i="1"/>
  <c r="A8759" i="1"/>
  <c r="B8759" i="1"/>
  <c r="A8760" i="1"/>
  <c r="B8760" i="1"/>
  <c r="A8761" i="1"/>
  <c r="B8761" i="1"/>
  <c r="A8762" i="1"/>
  <c r="B8762" i="1"/>
  <c r="A8763" i="1"/>
  <c r="B8763" i="1"/>
  <c r="A8764" i="1"/>
  <c r="A8765" i="1"/>
  <c r="A8766" i="1"/>
  <c r="A8767" i="1"/>
  <c r="B8767" i="1"/>
  <c r="A8768" i="1"/>
  <c r="B8768" i="1"/>
  <c r="A8769" i="1"/>
  <c r="B8769" i="1"/>
  <c r="A8770" i="1"/>
  <c r="B8770" i="1"/>
  <c r="A8771" i="1"/>
  <c r="B8771" i="1"/>
  <c r="A8772" i="1"/>
  <c r="B8772" i="1"/>
  <c r="A8773" i="1"/>
  <c r="B8773" i="1"/>
  <c r="A8774" i="1"/>
  <c r="B8774" i="1"/>
  <c r="A8775" i="1"/>
  <c r="B8775" i="1"/>
  <c r="A8776" i="1"/>
  <c r="B8776" i="1"/>
  <c r="A8777" i="1"/>
  <c r="B8777" i="1"/>
  <c r="A8778" i="1"/>
  <c r="A8779" i="1"/>
  <c r="B8779" i="1"/>
  <c r="A8780" i="1"/>
  <c r="B8780" i="1"/>
  <c r="A8781" i="1"/>
  <c r="B8781" i="1"/>
  <c r="A8782" i="1"/>
  <c r="A8783" i="1"/>
  <c r="B8783" i="1"/>
  <c r="A8784" i="1"/>
  <c r="B8784" i="1"/>
  <c r="A8785" i="1"/>
  <c r="B8785" i="1"/>
  <c r="A8786" i="1"/>
  <c r="B8786" i="1"/>
  <c r="A8787" i="1"/>
  <c r="B8787" i="1"/>
  <c r="A8788" i="1"/>
  <c r="A8789" i="1"/>
  <c r="B8789" i="1"/>
  <c r="A8790" i="1"/>
  <c r="A8791" i="1"/>
  <c r="A8792" i="1"/>
  <c r="A8793" i="1"/>
  <c r="B8793" i="1"/>
  <c r="A8794" i="1"/>
  <c r="B8794" i="1"/>
  <c r="A8795" i="1"/>
  <c r="B8795" i="1"/>
  <c r="A8796" i="1"/>
  <c r="A8797" i="1"/>
  <c r="B8797" i="1"/>
  <c r="A8798" i="1"/>
  <c r="B8798" i="1"/>
  <c r="A8799" i="1"/>
  <c r="A8800" i="1"/>
  <c r="B8800" i="1"/>
  <c r="A8801" i="1"/>
  <c r="B8801" i="1"/>
  <c r="A8802" i="1"/>
  <c r="A8803" i="1"/>
  <c r="A8804" i="1"/>
  <c r="B8804" i="1"/>
  <c r="A8805" i="1"/>
  <c r="A8806" i="1"/>
  <c r="B8806" i="1"/>
  <c r="A8807" i="1"/>
  <c r="B8807" i="1"/>
  <c r="A8808" i="1"/>
  <c r="B8808" i="1"/>
  <c r="A8809" i="1"/>
  <c r="B8809" i="1"/>
  <c r="A8810" i="1"/>
  <c r="B8810" i="1"/>
  <c r="A8811" i="1"/>
  <c r="B8811" i="1"/>
  <c r="A8812" i="1"/>
  <c r="B8812" i="1"/>
  <c r="A8813" i="1"/>
  <c r="B8813" i="1"/>
  <c r="A8814" i="1"/>
  <c r="B8814" i="1"/>
  <c r="A8815" i="1"/>
  <c r="A8816" i="1"/>
  <c r="B8816" i="1"/>
  <c r="A8817" i="1"/>
  <c r="B8817" i="1"/>
  <c r="A8818" i="1"/>
  <c r="A8819" i="1"/>
  <c r="A8820" i="1"/>
  <c r="B8820" i="1"/>
  <c r="A8821" i="1"/>
  <c r="B8821" i="1"/>
  <c r="A8822" i="1"/>
  <c r="B8822" i="1"/>
  <c r="A8823" i="1"/>
  <c r="B8823" i="1"/>
  <c r="A8824" i="1"/>
  <c r="A8825" i="1"/>
  <c r="A8826" i="1"/>
  <c r="B8826" i="1"/>
  <c r="A8827" i="1"/>
  <c r="B8827" i="1"/>
  <c r="A8828" i="1"/>
  <c r="B8828" i="1"/>
  <c r="A8829" i="1"/>
  <c r="B8829" i="1"/>
  <c r="A8830" i="1"/>
  <c r="B8830" i="1"/>
  <c r="A8831" i="1"/>
  <c r="B8831" i="1"/>
  <c r="A8832" i="1"/>
  <c r="B8832" i="1"/>
  <c r="A8833" i="1"/>
  <c r="A8834" i="1"/>
  <c r="B8834" i="1"/>
  <c r="A8835" i="1"/>
  <c r="B8835" i="1"/>
  <c r="A8836" i="1"/>
  <c r="B8836" i="1"/>
  <c r="A8837" i="1"/>
  <c r="B8837" i="1"/>
  <c r="A8838" i="1"/>
  <c r="B8838" i="1"/>
  <c r="A8839" i="1"/>
  <c r="B8839" i="1"/>
  <c r="A8840" i="1"/>
  <c r="B8840" i="1"/>
  <c r="A8841" i="1"/>
  <c r="A8842" i="1"/>
  <c r="A8843" i="1"/>
  <c r="B8843" i="1"/>
  <c r="A8844" i="1"/>
  <c r="B8844" i="1"/>
  <c r="A8845" i="1"/>
  <c r="B8845" i="1"/>
  <c r="A8846" i="1"/>
  <c r="B8846" i="1"/>
  <c r="A8847" i="1"/>
  <c r="A8848" i="1"/>
  <c r="B8848" i="1"/>
  <c r="A8849" i="1"/>
  <c r="B8849" i="1"/>
  <c r="A8850" i="1"/>
  <c r="B8850" i="1"/>
  <c r="A8851" i="1"/>
  <c r="A8852" i="1"/>
  <c r="A8853" i="1"/>
  <c r="A8854" i="1"/>
  <c r="A8855" i="1"/>
  <c r="B8855" i="1"/>
  <c r="A8856" i="1"/>
  <c r="B8856" i="1"/>
  <c r="A8857" i="1"/>
  <c r="B8857" i="1"/>
  <c r="A8858" i="1"/>
  <c r="B8858" i="1"/>
  <c r="A8859" i="1"/>
  <c r="B8859" i="1"/>
  <c r="A8860" i="1"/>
  <c r="B8860" i="1"/>
  <c r="A8861" i="1"/>
  <c r="B8861" i="1"/>
  <c r="A8862" i="1"/>
  <c r="A8863" i="1"/>
  <c r="B8863" i="1"/>
  <c r="A8864" i="1"/>
  <c r="B8864" i="1"/>
  <c r="A8865" i="1"/>
  <c r="B8865" i="1"/>
  <c r="A8866" i="1"/>
  <c r="B8866" i="1"/>
  <c r="A8867" i="1"/>
  <c r="B8867" i="1"/>
  <c r="A8868" i="1"/>
  <c r="A8869" i="1"/>
  <c r="B8869" i="1"/>
  <c r="A8870" i="1"/>
  <c r="B8870" i="1"/>
  <c r="A8871" i="1"/>
  <c r="B8871" i="1"/>
  <c r="A8872" i="1"/>
  <c r="B8872" i="1"/>
  <c r="A8873" i="1"/>
  <c r="B8873" i="1"/>
  <c r="A8874" i="1"/>
  <c r="A8875" i="1"/>
  <c r="B8875" i="1"/>
  <c r="A8876" i="1"/>
  <c r="B8876" i="1"/>
  <c r="A8877" i="1"/>
  <c r="B8877" i="1"/>
  <c r="A8878" i="1"/>
  <c r="A8879" i="1"/>
  <c r="B8879" i="1"/>
  <c r="A8880" i="1"/>
  <c r="A8881" i="1"/>
  <c r="A8882" i="1"/>
  <c r="A8883" i="1"/>
  <c r="B8883" i="1"/>
  <c r="A8884" i="1"/>
  <c r="A8885" i="1"/>
  <c r="B8885" i="1"/>
  <c r="A8886" i="1"/>
  <c r="A8887" i="1"/>
  <c r="A8888" i="1"/>
  <c r="A8889" i="1"/>
  <c r="A8890" i="1"/>
  <c r="B8890" i="1"/>
  <c r="A8891" i="1"/>
  <c r="B8891" i="1"/>
  <c r="A8892" i="1"/>
  <c r="B8892" i="1"/>
  <c r="A8893" i="1"/>
  <c r="B8893" i="1"/>
  <c r="A8894" i="1"/>
  <c r="B8894" i="1"/>
  <c r="A8895" i="1"/>
  <c r="B8895" i="1"/>
  <c r="A8896" i="1"/>
  <c r="B8896" i="1"/>
  <c r="A8897" i="1"/>
  <c r="B8897" i="1"/>
  <c r="A8898" i="1"/>
  <c r="A8899" i="1"/>
  <c r="A8900" i="1"/>
  <c r="A8901" i="1"/>
  <c r="A8902" i="1"/>
  <c r="B8902" i="1"/>
  <c r="A8903" i="1"/>
  <c r="B8903" i="1"/>
  <c r="A8904" i="1"/>
  <c r="B8904" i="1"/>
  <c r="A8905" i="1"/>
  <c r="B8905" i="1"/>
  <c r="A8906" i="1"/>
  <c r="B8906" i="1"/>
  <c r="A8907" i="1"/>
  <c r="B8907" i="1"/>
  <c r="A8908" i="1"/>
  <c r="B8908" i="1"/>
  <c r="A8909" i="1"/>
  <c r="B8909" i="1"/>
  <c r="A8910" i="1"/>
  <c r="A8911" i="1"/>
  <c r="A8912" i="1"/>
  <c r="B8912" i="1"/>
  <c r="A8913" i="1"/>
  <c r="B8913" i="1"/>
  <c r="A8914" i="1"/>
  <c r="B8914" i="1"/>
  <c r="A8915" i="1"/>
  <c r="B8915" i="1"/>
  <c r="A8916" i="1"/>
  <c r="B8916" i="1"/>
  <c r="A8917" i="1"/>
  <c r="A8918" i="1"/>
  <c r="A8919" i="1"/>
  <c r="A8920" i="1"/>
  <c r="B8920" i="1"/>
  <c r="A8921" i="1"/>
  <c r="B8921" i="1"/>
  <c r="A8922" i="1"/>
  <c r="B8922" i="1"/>
  <c r="A8923" i="1"/>
  <c r="B8923" i="1"/>
  <c r="A8924" i="1"/>
  <c r="B8924" i="1"/>
  <c r="A8925" i="1"/>
  <c r="B8925" i="1"/>
  <c r="A8926" i="1"/>
  <c r="B8926" i="1"/>
  <c r="A8927" i="1"/>
  <c r="B8927" i="1"/>
  <c r="A8928" i="1"/>
  <c r="B8928" i="1"/>
  <c r="A8929" i="1"/>
  <c r="B8929" i="1"/>
  <c r="A8930" i="1"/>
  <c r="B8930" i="1"/>
  <c r="A8931" i="1"/>
  <c r="B8931" i="1"/>
  <c r="A8932" i="1"/>
  <c r="A8933" i="1"/>
  <c r="B8933" i="1"/>
  <c r="A8934" i="1"/>
  <c r="B8934" i="1"/>
  <c r="A8935" i="1"/>
  <c r="B8935" i="1"/>
  <c r="A8936" i="1"/>
  <c r="B8936" i="1"/>
  <c r="A8937" i="1"/>
  <c r="A8938" i="1"/>
  <c r="B8938" i="1"/>
  <c r="A8939" i="1"/>
  <c r="B8939" i="1"/>
  <c r="A8940" i="1"/>
  <c r="B8940" i="1"/>
  <c r="A8941" i="1"/>
  <c r="A8942" i="1"/>
  <c r="B8942" i="1"/>
  <c r="A8943" i="1"/>
  <c r="B8943" i="1"/>
  <c r="A8944" i="1"/>
  <c r="B8944" i="1"/>
  <c r="A8945" i="1"/>
  <c r="B8945" i="1"/>
  <c r="A8946" i="1"/>
  <c r="B8946" i="1"/>
  <c r="A8947" i="1"/>
  <c r="B8947" i="1"/>
  <c r="A8948" i="1"/>
  <c r="B8948" i="1"/>
  <c r="A8949" i="1"/>
  <c r="A8950" i="1"/>
  <c r="A8951" i="1"/>
  <c r="B8951" i="1"/>
  <c r="A8952" i="1"/>
  <c r="B8952" i="1"/>
  <c r="A8953" i="1"/>
  <c r="A8954" i="1"/>
  <c r="B8954" i="1"/>
  <c r="A8955" i="1"/>
  <c r="B8955" i="1"/>
  <c r="A8956" i="1"/>
  <c r="B8956" i="1"/>
  <c r="A8957" i="1"/>
  <c r="A8958" i="1"/>
  <c r="A8959" i="1"/>
  <c r="A8960" i="1"/>
  <c r="B8960" i="1"/>
  <c r="A8961" i="1"/>
  <c r="B8961" i="1"/>
  <c r="A8962" i="1"/>
  <c r="B8962" i="1"/>
  <c r="A8963" i="1"/>
  <c r="B8963" i="1"/>
  <c r="A8964" i="1"/>
  <c r="B8964" i="1"/>
  <c r="A8965" i="1"/>
  <c r="B8965" i="1"/>
  <c r="A8966" i="1"/>
  <c r="B8966" i="1"/>
  <c r="A8967" i="1"/>
  <c r="B8967" i="1"/>
  <c r="A8968" i="1"/>
  <c r="B8968" i="1"/>
  <c r="A8969" i="1"/>
  <c r="B8969" i="1"/>
  <c r="A8970" i="1"/>
  <c r="B8970" i="1"/>
  <c r="A8971" i="1"/>
  <c r="A8972" i="1"/>
  <c r="B8972" i="1"/>
  <c r="A8973" i="1"/>
  <c r="A8974" i="1"/>
  <c r="A8975" i="1"/>
  <c r="A8976" i="1"/>
  <c r="A8977" i="1"/>
  <c r="B8977" i="1"/>
  <c r="A8978" i="1"/>
  <c r="A8979" i="1"/>
  <c r="B8979" i="1"/>
  <c r="A8980" i="1"/>
  <c r="B8980" i="1"/>
  <c r="A8981" i="1"/>
  <c r="B8981" i="1"/>
  <c r="A8982" i="1"/>
  <c r="B8982" i="1"/>
  <c r="A8983" i="1"/>
  <c r="B8983" i="1"/>
  <c r="A8984" i="1"/>
  <c r="B8984" i="1"/>
  <c r="A8985" i="1"/>
  <c r="B8985" i="1"/>
  <c r="A8986" i="1"/>
  <c r="A8987" i="1"/>
  <c r="A8988" i="1"/>
  <c r="B8988" i="1"/>
  <c r="A8989" i="1"/>
  <c r="A8990" i="1"/>
  <c r="A8991" i="1"/>
  <c r="B8991" i="1"/>
  <c r="A8992" i="1"/>
  <c r="B8992" i="1"/>
  <c r="A8993" i="1"/>
  <c r="B8993" i="1"/>
  <c r="A8994" i="1"/>
  <c r="B8994" i="1"/>
  <c r="A8995" i="1"/>
  <c r="B8995" i="1"/>
  <c r="A8996" i="1"/>
  <c r="B8996" i="1"/>
  <c r="A8997" i="1"/>
  <c r="B8997" i="1"/>
  <c r="A8998" i="1"/>
  <c r="B8998" i="1"/>
  <c r="A8999" i="1"/>
  <c r="B8999" i="1"/>
  <c r="A9000" i="1"/>
  <c r="B9000" i="1"/>
  <c r="A9001" i="1"/>
  <c r="B9001" i="1"/>
  <c r="A9002" i="1"/>
  <c r="A9003" i="1"/>
  <c r="B9003" i="1"/>
  <c r="A9004" i="1"/>
  <c r="B9004" i="1"/>
  <c r="A9005" i="1"/>
  <c r="B9005" i="1"/>
  <c r="A9006" i="1"/>
  <c r="B9006" i="1"/>
  <c r="A9007" i="1"/>
  <c r="B9007" i="1"/>
  <c r="A9008" i="1"/>
  <c r="A9009" i="1"/>
  <c r="A9010" i="1"/>
  <c r="A9011" i="1"/>
  <c r="B9011" i="1"/>
  <c r="A9012" i="1"/>
  <c r="B9012" i="1"/>
  <c r="A9013" i="1"/>
  <c r="B9013" i="1"/>
  <c r="A9014" i="1"/>
  <c r="B9014" i="1"/>
  <c r="A9015" i="1"/>
  <c r="B9015" i="1"/>
  <c r="A9016" i="1"/>
  <c r="B9016" i="1"/>
  <c r="A9017" i="1"/>
  <c r="B9017" i="1"/>
  <c r="A9018" i="1"/>
  <c r="B9018" i="1"/>
  <c r="A9019" i="1"/>
  <c r="B9019" i="1"/>
  <c r="A9020" i="1"/>
  <c r="B9020" i="1"/>
  <c r="A9021" i="1"/>
  <c r="B9021" i="1"/>
  <c r="A9022" i="1"/>
  <c r="B9022" i="1"/>
  <c r="A9023" i="1"/>
  <c r="A9024" i="1"/>
  <c r="B9024" i="1"/>
  <c r="A9025" i="1"/>
  <c r="B9025" i="1"/>
  <c r="A9026" i="1"/>
  <c r="B9026" i="1"/>
  <c r="A9027" i="1"/>
  <c r="A9028" i="1"/>
  <c r="A9029" i="1"/>
  <c r="B9029" i="1"/>
  <c r="A9030" i="1"/>
  <c r="B9030" i="1"/>
  <c r="A9031" i="1"/>
  <c r="B9031" i="1"/>
  <c r="A9032" i="1"/>
  <c r="B9032" i="1"/>
  <c r="A9033" i="1"/>
  <c r="B9033" i="1"/>
  <c r="A9034" i="1"/>
  <c r="B9034" i="1"/>
  <c r="A9035" i="1"/>
  <c r="B9035" i="1"/>
  <c r="A9036" i="1"/>
  <c r="A9037" i="1"/>
  <c r="B9037" i="1"/>
  <c r="A9038" i="1"/>
  <c r="B9038" i="1"/>
  <c r="A9039" i="1"/>
  <c r="A9040" i="1"/>
  <c r="A9041" i="1"/>
  <c r="A9042" i="1"/>
  <c r="B9042" i="1"/>
  <c r="A9043" i="1"/>
  <c r="A9044" i="1"/>
  <c r="A9045" i="1"/>
  <c r="B9045" i="1"/>
  <c r="A9046" i="1"/>
  <c r="B9046" i="1"/>
  <c r="A9047" i="1"/>
  <c r="B9047" i="1"/>
  <c r="A9048" i="1"/>
  <c r="B9048" i="1"/>
  <c r="A9049" i="1"/>
  <c r="A9050" i="1"/>
  <c r="A9051" i="1"/>
  <c r="A9052" i="1"/>
  <c r="A9053" i="1"/>
  <c r="A9054" i="1"/>
  <c r="B9054" i="1"/>
  <c r="A9055" i="1"/>
  <c r="A9056" i="1"/>
  <c r="B9056" i="1"/>
  <c r="A9057" i="1"/>
  <c r="B9057" i="1"/>
  <c r="A9058" i="1"/>
  <c r="B9058" i="1"/>
  <c r="A9059" i="1"/>
  <c r="B9059" i="1"/>
  <c r="A9060" i="1"/>
  <c r="B9060" i="1"/>
  <c r="A9061" i="1"/>
  <c r="B9061" i="1"/>
  <c r="A9062" i="1"/>
  <c r="B9062" i="1"/>
  <c r="A9063" i="1"/>
  <c r="B9063" i="1"/>
  <c r="A9064" i="1"/>
  <c r="B9064" i="1"/>
  <c r="A9065" i="1"/>
  <c r="B9065" i="1"/>
  <c r="A9066" i="1"/>
  <c r="B9066" i="1"/>
  <c r="A9067" i="1"/>
  <c r="B9067" i="1"/>
  <c r="A9068" i="1"/>
  <c r="A9069" i="1"/>
  <c r="B9069" i="1"/>
  <c r="A9070" i="1"/>
  <c r="B9070" i="1"/>
  <c r="A9071" i="1"/>
  <c r="B9071" i="1"/>
  <c r="A9072" i="1"/>
  <c r="B9072" i="1"/>
  <c r="A9073" i="1"/>
  <c r="B9073" i="1"/>
  <c r="A9074" i="1"/>
  <c r="B9074" i="1"/>
  <c r="A9075" i="1"/>
  <c r="B9075" i="1"/>
  <c r="A9076" i="1"/>
  <c r="B9076" i="1"/>
  <c r="A9077" i="1"/>
  <c r="B9077" i="1"/>
  <c r="A9078" i="1"/>
  <c r="A9079" i="1"/>
  <c r="A9080" i="1"/>
  <c r="A9081" i="1"/>
  <c r="B9081" i="1"/>
  <c r="A9082" i="1"/>
  <c r="A9083" i="1"/>
  <c r="A9084" i="1"/>
  <c r="B9084" i="1"/>
  <c r="A9085" i="1"/>
  <c r="A9086" i="1"/>
  <c r="A9087" i="1"/>
  <c r="B9087" i="1"/>
  <c r="A9088" i="1"/>
  <c r="B9088" i="1"/>
  <c r="A9089" i="1"/>
  <c r="B9089" i="1"/>
  <c r="A9090" i="1"/>
  <c r="B9090" i="1"/>
  <c r="A9091" i="1"/>
  <c r="B9091" i="1"/>
  <c r="A9092" i="1"/>
  <c r="B9092" i="1"/>
  <c r="A9093" i="1"/>
  <c r="B9093" i="1"/>
  <c r="A9094" i="1"/>
  <c r="B9094" i="1"/>
  <c r="A9095" i="1"/>
  <c r="A9096" i="1"/>
  <c r="A9097" i="1"/>
  <c r="B9097" i="1"/>
  <c r="A9098" i="1"/>
  <c r="B9098" i="1"/>
  <c r="A9099" i="1"/>
  <c r="B9099" i="1"/>
  <c r="A9100" i="1"/>
  <c r="B9100" i="1"/>
  <c r="A9101" i="1"/>
  <c r="B9101" i="1"/>
  <c r="A9102" i="1"/>
  <c r="B9102" i="1"/>
  <c r="A9103" i="1"/>
  <c r="B9103" i="1"/>
  <c r="A9104" i="1"/>
  <c r="B9104" i="1"/>
  <c r="A9105" i="1"/>
  <c r="B9105" i="1"/>
  <c r="A9106" i="1"/>
  <c r="B9106" i="1"/>
  <c r="A9107" i="1"/>
  <c r="B9107" i="1"/>
  <c r="A9108" i="1"/>
  <c r="B9108" i="1"/>
  <c r="A9109" i="1"/>
  <c r="B9109" i="1"/>
  <c r="A9110" i="1"/>
  <c r="B9110" i="1"/>
  <c r="A9111" i="1"/>
  <c r="A9112" i="1"/>
  <c r="B9112" i="1"/>
  <c r="A9113" i="1"/>
  <c r="B9113" i="1"/>
  <c r="A9114" i="1"/>
  <c r="B9114" i="1"/>
  <c r="A9115" i="1"/>
  <c r="A9116" i="1"/>
  <c r="B9116" i="1"/>
  <c r="A9117" i="1"/>
  <c r="A9118" i="1"/>
  <c r="A9119" i="1"/>
  <c r="B9119" i="1"/>
  <c r="A9120" i="1"/>
  <c r="B9120" i="1"/>
  <c r="A9121" i="1"/>
  <c r="B9121" i="1"/>
  <c r="A9122" i="1"/>
  <c r="B9122" i="1"/>
  <c r="A9123" i="1"/>
  <c r="B9123" i="1"/>
  <c r="A9124" i="1"/>
  <c r="B9124" i="1"/>
  <c r="A9125" i="1"/>
  <c r="B9125" i="1"/>
  <c r="A9126" i="1"/>
  <c r="A9127" i="1"/>
  <c r="B9127" i="1"/>
  <c r="A9128" i="1"/>
  <c r="B9128" i="1"/>
  <c r="A9129" i="1"/>
  <c r="B9129" i="1"/>
  <c r="A9130" i="1"/>
  <c r="B9130" i="1"/>
  <c r="A9131" i="1"/>
  <c r="A9132" i="1"/>
  <c r="A9133" i="1"/>
  <c r="B9133" i="1"/>
  <c r="A9134" i="1"/>
  <c r="B9134" i="1"/>
  <c r="A9135" i="1"/>
  <c r="B9135" i="1"/>
  <c r="A9136" i="1"/>
  <c r="B9136" i="1"/>
  <c r="A9137" i="1"/>
  <c r="B9137" i="1"/>
  <c r="A9138" i="1"/>
  <c r="A9139" i="1"/>
  <c r="A9140" i="1"/>
  <c r="B9140" i="1"/>
  <c r="A9141" i="1"/>
  <c r="B9141" i="1"/>
  <c r="A9142" i="1"/>
  <c r="B9142" i="1"/>
  <c r="A9143" i="1"/>
  <c r="B9143" i="1"/>
  <c r="A9144" i="1"/>
  <c r="B9144" i="1"/>
  <c r="A9145" i="1"/>
  <c r="B9145" i="1"/>
  <c r="A9146" i="1"/>
  <c r="B9146" i="1"/>
  <c r="A9147" i="1"/>
  <c r="B9147" i="1"/>
  <c r="A9148" i="1"/>
  <c r="B9148" i="1"/>
  <c r="A9149" i="1"/>
  <c r="A9150" i="1"/>
  <c r="B9150" i="1"/>
  <c r="A9151" i="1"/>
  <c r="B9151" i="1"/>
  <c r="A9152" i="1"/>
  <c r="A9153" i="1"/>
  <c r="A9154" i="1"/>
  <c r="A9155" i="1"/>
  <c r="A9156" i="1"/>
  <c r="A9157" i="1"/>
  <c r="A9158" i="1"/>
  <c r="B9158" i="1"/>
  <c r="A9159" i="1"/>
  <c r="B9159" i="1"/>
  <c r="A9160" i="1"/>
  <c r="A9161" i="1"/>
  <c r="A9162" i="1"/>
  <c r="A9163" i="1"/>
  <c r="A9164" i="1"/>
  <c r="A9165" i="1"/>
  <c r="A9166" i="1"/>
  <c r="A9167" i="1"/>
  <c r="B9167" i="1"/>
  <c r="A9168" i="1"/>
  <c r="B9168" i="1"/>
  <c r="A9169" i="1"/>
  <c r="B9169" i="1"/>
  <c r="A9170" i="1"/>
  <c r="B9170" i="1"/>
  <c r="A9171" i="1"/>
  <c r="B9171" i="1"/>
  <c r="A9172" i="1"/>
  <c r="B9172" i="1"/>
  <c r="A9173" i="1"/>
  <c r="B9173" i="1"/>
  <c r="A9174" i="1"/>
  <c r="B9174" i="1"/>
  <c r="A9175" i="1"/>
  <c r="A9176" i="1"/>
  <c r="A9177" i="1"/>
  <c r="B9177" i="1"/>
  <c r="A9178" i="1"/>
  <c r="B9178" i="1"/>
  <c r="A9179" i="1"/>
  <c r="B9179" i="1"/>
  <c r="A9180" i="1"/>
  <c r="B9180" i="1"/>
  <c r="A9181" i="1"/>
  <c r="B9181" i="1"/>
  <c r="A9182" i="1"/>
  <c r="B9182" i="1"/>
  <c r="A9183" i="1"/>
  <c r="B9183" i="1"/>
  <c r="A9184" i="1"/>
  <c r="B9184" i="1"/>
  <c r="A9185" i="1"/>
  <c r="B9185" i="1"/>
  <c r="A9186" i="1"/>
  <c r="A9187" i="1"/>
  <c r="A9188" i="1"/>
  <c r="A9189" i="1"/>
  <c r="A9190" i="1"/>
  <c r="B9190" i="1"/>
  <c r="A9191" i="1"/>
  <c r="B9191" i="1"/>
  <c r="A9192" i="1"/>
  <c r="A9193" i="1"/>
  <c r="B9193" i="1"/>
  <c r="A9194" i="1"/>
  <c r="B9194" i="1"/>
  <c r="A9195" i="1"/>
  <c r="B9195" i="1"/>
  <c r="A9196" i="1"/>
  <c r="B9196" i="1"/>
  <c r="A9197" i="1"/>
  <c r="A9198" i="1"/>
  <c r="A9199" i="1"/>
  <c r="B9199" i="1"/>
  <c r="A9200" i="1"/>
  <c r="B9200" i="1"/>
  <c r="A9201" i="1"/>
  <c r="B9201" i="1"/>
  <c r="A9202" i="1"/>
  <c r="B9202" i="1"/>
  <c r="A9203" i="1"/>
  <c r="A9204" i="1"/>
  <c r="B9204" i="1"/>
  <c r="A9205" i="1"/>
  <c r="B9205" i="1"/>
  <c r="A9206" i="1"/>
  <c r="B9206" i="1"/>
  <c r="A9207" i="1"/>
  <c r="A9208" i="1"/>
  <c r="A9209" i="1"/>
  <c r="B9209" i="1"/>
  <c r="A9210" i="1"/>
  <c r="B9210" i="1"/>
  <c r="A9211" i="1"/>
  <c r="B9211" i="1"/>
  <c r="A9212" i="1"/>
  <c r="B9212" i="1"/>
  <c r="A9213" i="1"/>
  <c r="A9214" i="1"/>
  <c r="B9214" i="1"/>
  <c r="A9215" i="1"/>
  <c r="B9215" i="1"/>
  <c r="A9216" i="1"/>
  <c r="B9216" i="1"/>
  <c r="A9217" i="1"/>
  <c r="B9217" i="1"/>
  <c r="A9218" i="1"/>
  <c r="B9218" i="1"/>
  <c r="A9219" i="1"/>
  <c r="B9219" i="1"/>
  <c r="A9220" i="1"/>
  <c r="B9220" i="1"/>
  <c r="A9221" i="1"/>
  <c r="B9221" i="1"/>
  <c r="A9222" i="1"/>
  <c r="B9222" i="1"/>
  <c r="A9223" i="1"/>
  <c r="B9223" i="1"/>
  <c r="A9224" i="1"/>
  <c r="B9224" i="1"/>
  <c r="A9225" i="1"/>
  <c r="B9225" i="1"/>
  <c r="A9226" i="1"/>
  <c r="B9226" i="1"/>
  <c r="A9227" i="1"/>
  <c r="B9227" i="1"/>
  <c r="A9228" i="1"/>
  <c r="B9228" i="1"/>
  <c r="A9229" i="1"/>
  <c r="B9229" i="1"/>
  <c r="A9230" i="1"/>
  <c r="B9230" i="1"/>
  <c r="A9231" i="1"/>
  <c r="A9232" i="1"/>
  <c r="A9233" i="1"/>
  <c r="B9233" i="1"/>
  <c r="A9234" i="1"/>
  <c r="B9234" i="1"/>
  <c r="A9235" i="1"/>
  <c r="A9236" i="1"/>
  <c r="B9236" i="1"/>
  <c r="A9237" i="1"/>
  <c r="B9237" i="1"/>
  <c r="A9238" i="1"/>
  <c r="B9238" i="1"/>
  <c r="A9239" i="1"/>
  <c r="B9239" i="1"/>
  <c r="A9240" i="1"/>
  <c r="B9240" i="1"/>
  <c r="A9241" i="1"/>
  <c r="B9241" i="1"/>
  <c r="A9242" i="1"/>
  <c r="B9242" i="1"/>
  <c r="A9243" i="1"/>
  <c r="A9244" i="1"/>
  <c r="B9244" i="1"/>
  <c r="A9245" i="1"/>
  <c r="A9246" i="1"/>
  <c r="B9246" i="1"/>
  <c r="A9247" i="1"/>
  <c r="B9247" i="1"/>
  <c r="A9248" i="1"/>
  <c r="B9248" i="1"/>
  <c r="A9249" i="1"/>
  <c r="B9249" i="1"/>
  <c r="A9250" i="1"/>
  <c r="B9250" i="1"/>
  <c r="A9251" i="1"/>
  <c r="A9252" i="1"/>
  <c r="B9252" i="1"/>
  <c r="A9253" i="1"/>
  <c r="B9253" i="1"/>
  <c r="A9254" i="1"/>
  <c r="B9254" i="1"/>
  <c r="A9255" i="1"/>
  <c r="A9256" i="1"/>
  <c r="B9256" i="1"/>
  <c r="A9257" i="1"/>
  <c r="B9257" i="1"/>
  <c r="A9258" i="1"/>
  <c r="B9258" i="1"/>
  <c r="A9259" i="1"/>
  <c r="B9259" i="1"/>
  <c r="A9260" i="1"/>
  <c r="B9260" i="1"/>
  <c r="A9261" i="1"/>
  <c r="B9261" i="1"/>
  <c r="A9262" i="1"/>
  <c r="B9262" i="1"/>
  <c r="A9263" i="1"/>
  <c r="B9263" i="1"/>
  <c r="A9264" i="1"/>
  <c r="B9264" i="1"/>
  <c r="A9265" i="1"/>
  <c r="B9265" i="1"/>
  <c r="A9266" i="1"/>
  <c r="A9267" i="1"/>
  <c r="B9267" i="1"/>
  <c r="A9268" i="1"/>
  <c r="B9268" i="1"/>
  <c r="A9269" i="1"/>
  <c r="A9270" i="1"/>
  <c r="A9271" i="1"/>
  <c r="B9271" i="1"/>
  <c r="A9272" i="1"/>
  <c r="B9272" i="1"/>
  <c r="A9273" i="1"/>
  <c r="B9273" i="1"/>
  <c r="A9274" i="1"/>
  <c r="B9274" i="1"/>
  <c r="A9275" i="1"/>
  <c r="B9275" i="1"/>
  <c r="A9276" i="1"/>
  <c r="A9277" i="1"/>
  <c r="B9277" i="1"/>
  <c r="A9278" i="1"/>
  <c r="B9278" i="1"/>
  <c r="A9279" i="1"/>
  <c r="B9279" i="1"/>
  <c r="A9280" i="1"/>
  <c r="B9280" i="1"/>
  <c r="A9281" i="1"/>
  <c r="B9281" i="1"/>
  <c r="A9282" i="1"/>
  <c r="B9282" i="1"/>
  <c r="A9283" i="1"/>
  <c r="A9284" i="1"/>
  <c r="A9285" i="1"/>
  <c r="B9285" i="1"/>
  <c r="A9286" i="1"/>
  <c r="B9286" i="1"/>
  <c r="A9287" i="1"/>
  <c r="B9287" i="1"/>
  <c r="A9288" i="1"/>
  <c r="B9288" i="1"/>
  <c r="A9289" i="1"/>
  <c r="B9289" i="1"/>
  <c r="A9290" i="1"/>
  <c r="B9290" i="1"/>
  <c r="A9291" i="1"/>
  <c r="B9291" i="1"/>
  <c r="A9292" i="1"/>
  <c r="A9293" i="1"/>
  <c r="B9293" i="1"/>
  <c r="A9294" i="1"/>
  <c r="B9294" i="1"/>
  <c r="A9295" i="1"/>
  <c r="B9295" i="1"/>
  <c r="A9296" i="1"/>
  <c r="B9296" i="1"/>
  <c r="A9297" i="1"/>
  <c r="B9297" i="1"/>
  <c r="A9298" i="1"/>
  <c r="B9298" i="1"/>
  <c r="A9299" i="1"/>
  <c r="B9299" i="1"/>
  <c r="A9300" i="1"/>
  <c r="B9300" i="1"/>
  <c r="A9301" i="1"/>
  <c r="B9301" i="1"/>
  <c r="A9302" i="1"/>
  <c r="B9302" i="1"/>
  <c r="A9303" i="1"/>
  <c r="B9303" i="1"/>
  <c r="A9304" i="1"/>
  <c r="B9304" i="1"/>
  <c r="A9305" i="1"/>
  <c r="B9305" i="1"/>
  <c r="A9306" i="1"/>
  <c r="A9307" i="1"/>
  <c r="B9307" i="1"/>
  <c r="A9308" i="1"/>
  <c r="B9308" i="1"/>
  <c r="A9309" i="1"/>
  <c r="B9309" i="1"/>
  <c r="A9310" i="1"/>
  <c r="B9310" i="1"/>
  <c r="A9311" i="1"/>
  <c r="A9312" i="1"/>
  <c r="A9313" i="1"/>
  <c r="A9314" i="1"/>
  <c r="A9315" i="1"/>
  <c r="A9316" i="1"/>
  <c r="B9316" i="1"/>
  <c r="A9317" i="1"/>
  <c r="B9317" i="1"/>
  <c r="A9318" i="1"/>
  <c r="A9319" i="1"/>
  <c r="B9319" i="1"/>
  <c r="A9320" i="1"/>
  <c r="B9320" i="1"/>
  <c r="A9321" i="1"/>
  <c r="A9322" i="1"/>
  <c r="B9322" i="1"/>
  <c r="A9323" i="1"/>
  <c r="B9323" i="1"/>
  <c r="A9324" i="1"/>
  <c r="B9324" i="1"/>
  <c r="A9325" i="1"/>
  <c r="A9326" i="1"/>
  <c r="B9326" i="1"/>
  <c r="A9327" i="1"/>
  <c r="A9328" i="1"/>
  <c r="A9329" i="1"/>
  <c r="B9329" i="1"/>
  <c r="A9330" i="1"/>
  <c r="B9330" i="1"/>
  <c r="A9331" i="1"/>
  <c r="A9332" i="1"/>
  <c r="B9332" i="1"/>
  <c r="A9333" i="1"/>
  <c r="B9333" i="1"/>
  <c r="A9334" i="1"/>
  <c r="B9334" i="1"/>
  <c r="A9335" i="1"/>
  <c r="B9335" i="1"/>
  <c r="A9336" i="1"/>
  <c r="A9337" i="1"/>
  <c r="B9337" i="1"/>
  <c r="A9338" i="1"/>
  <c r="B9338" i="1"/>
  <c r="A9339" i="1"/>
  <c r="B9339" i="1"/>
  <c r="A9340" i="1"/>
  <c r="B9340" i="1"/>
  <c r="A9341" i="1"/>
  <c r="A9342" i="1"/>
  <c r="B9342" i="1"/>
  <c r="A9343" i="1"/>
  <c r="B9343" i="1"/>
  <c r="A9344" i="1"/>
  <c r="B9344" i="1"/>
  <c r="A9345" i="1"/>
  <c r="B9345" i="1"/>
  <c r="A9346" i="1"/>
  <c r="B9346" i="1"/>
  <c r="A9347" i="1"/>
  <c r="B9347" i="1"/>
  <c r="A9348" i="1"/>
  <c r="B9348" i="1"/>
  <c r="A9349" i="1"/>
  <c r="B9349" i="1"/>
  <c r="A9350" i="1"/>
  <c r="B9350" i="1"/>
  <c r="A9351" i="1"/>
  <c r="B9351" i="1"/>
  <c r="A9352" i="1"/>
  <c r="B9352" i="1"/>
  <c r="A9353" i="1"/>
  <c r="B9353" i="1"/>
  <c r="A9354" i="1"/>
  <c r="B9354" i="1"/>
  <c r="A9355" i="1"/>
  <c r="B9355" i="1"/>
  <c r="A9356" i="1"/>
  <c r="B9356" i="1"/>
  <c r="A9357" i="1"/>
  <c r="A9358" i="1"/>
  <c r="B9358" i="1"/>
  <c r="A9359" i="1"/>
  <c r="B9359" i="1"/>
  <c r="A9360" i="1"/>
  <c r="B9360" i="1"/>
  <c r="A9361" i="1"/>
  <c r="B9361" i="1"/>
  <c r="A9362" i="1"/>
  <c r="B9362" i="1"/>
  <c r="A9363" i="1"/>
  <c r="A9364" i="1"/>
  <c r="A9365" i="1"/>
  <c r="B9365" i="1"/>
  <c r="A9366" i="1"/>
  <c r="B9366" i="1"/>
  <c r="A9367" i="1"/>
  <c r="A9368" i="1"/>
  <c r="B9368" i="1"/>
  <c r="A9369" i="1"/>
  <c r="B9369" i="1"/>
  <c r="A9370" i="1"/>
  <c r="B9370" i="1"/>
  <c r="A9371" i="1"/>
  <c r="A9372" i="1"/>
  <c r="A9373" i="1"/>
  <c r="A9374" i="1"/>
  <c r="B9374" i="1"/>
  <c r="A9375" i="1"/>
  <c r="B9375" i="1"/>
  <c r="A9376" i="1"/>
  <c r="B9376" i="1"/>
  <c r="A9377" i="1"/>
  <c r="B9377" i="1"/>
  <c r="A9378" i="1"/>
  <c r="B9378" i="1"/>
  <c r="A9379" i="1"/>
  <c r="B9379" i="1"/>
  <c r="A9380" i="1"/>
  <c r="B9380" i="1"/>
  <c r="A9381" i="1"/>
  <c r="B9381" i="1"/>
  <c r="A9382" i="1"/>
  <c r="B9382" i="1"/>
  <c r="A9383" i="1"/>
  <c r="A9384" i="1"/>
  <c r="B9384" i="1"/>
  <c r="A9385" i="1"/>
  <c r="B9385" i="1"/>
  <c r="A9386" i="1"/>
  <c r="B9386" i="1"/>
  <c r="A9387" i="1"/>
  <c r="B9387" i="1"/>
  <c r="A9388" i="1"/>
  <c r="B9388" i="1"/>
  <c r="A9389" i="1"/>
  <c r="B9389" i="1"/>
  <c r="A9390" i="1"/>
  <c r="A9391" i="1"/>
  <c r="B9391" i="1"/>
  <c r="A9392" i="1"/>
  <c r="A9393" i="1"/>
  <c r="A9394" i="1"/>
  <c r="B9394" i="1"/>
  <c r="A9395" i="1"/>
  <c r="B9395" i="1"/>
  <c r="A9396" i="1"/>
  <c r="B9396" i="1"/>
  <c r="A9397" i="1"/>
  <c r="B9397" i="1"/>
  <c r="A9398" i="1"/>
  <c r="B9398" i="1"/>
  <c r="A9399" i="1"/>
  <c r="A9400" i="1"/>
  <c r="B9400" i="1"/>
  <c r="A9401" i="1"/>
  <c r="B9401" i="1"/>
  <c r="A9402" i="1"/>
  <c r="B9402" i="1"/>
  <c r="A9403" i="1"/>
  <c r="B9403" i="1"/>
  <c r="A9404" i="1"/>
  <c r="B9404" i="1"/>
  <c r="A9405" i="1"/>
  <c r="A9406" i="1"/>
  <c r="A9407" i="1"/>
  <c r="A9408" i="1"/>
  <c r="A9409" i="1"/>
  <c r="A9410" i="1"/>
  <c r="A9411" i="1"/>
  <c r="A9412" i="1"/>
  <c r="B9412" i="1"/>
  <c r="A9413" i="1"/>
  <c r="B9413" i="1"/>
  <c r="A9414" i="1"/>
  <c r="B9414" i="1"/>
  <c r="A9415" i="1"/>
  <c r="B9415" i="1"/>
  <c r="A9416" i="1"/>
  <c r="A9417" i="1"/>
  <c r="B9417" i="1"/>
  <c r="A9418" i="1"/>
  <c r="B9418" i="1"/>
  <c r="A9419" i="1"/>
  <c r="A9420" i="1"/>
  <c r="B9420" i="1"/>
  <c r="A9421" i="1"/>
  <c r="B9421" i="1"/>
  <c r="A9422" i="1"/>
  <c r="B9422" i="1"/>
  <c r="A9423" i="1"/>
  <c r="B9423" i="1"/>
  <c r="A9424" i="1"/>
  <c r="B9424" i="1"/>
  <c r="A9425" i="1"/>
  <c r="B9425" i="1"/>
  <c r="A9426" i="1"/>
  <c r="B9426" i="1"/>
  <c r="A9427" i="1"/>
  <c r="B9427" i="1"/>
  <c r="A9428" i="1"/>
  <c r="B9428" i="1"/>
  <c r="A9429" i="1"/>
  <c r="A9430" i="1"/>
  <c r="B9430" i="1"/>
  <c r="A9431" i="1"/>
  <c r="B9431" i="1"/>
  <c r="A9432" i="1"/>
  <c r="B9432" i="1"/>
  <c r="A9433" i="1"/>
  <c r="B9433" i="1"/>
  <c r="A9434" i="1"/>
  <c r="B9434" i="1"/>
  <c r="A9435" i="1"/>
  <c r="B9435" i="1"/>
  <c r="A9436" i="1"/>
  <c r="B9436" i="1"/>
  <c r="A9437" i="1"/>
  <c r="B9437" i="1"/>
  <c r="A9438" i="1"/>
  <c r="A9439" i="1"/>
  <c r="B9439" i="1"/>
  <c r="A9440" i="1"/>
  <c r="B9440" i="1"/>
  <c r="A9441" i="1"/>
  <c r="B9441" i="1"/>
  <c r="A9442" i="1"/>
  <c r="B9442" i="1"/>
  <c r="A9443" i="1"/>
  <c r="B9443" i="1"/>
  <c r="A9444" i="1"/>
  <c r="B9444" i="1"/>
  <c r="A9445" i="1"/>
  <c r="B9445" i="1"/>
  <c r="A9446" i="1"/>
  <c r="B9446" i="1"/>
  <c r="A9447" i="1"/>
  <c r="A9448" i="1"/>
  <c r="A9449" i="1"/>
  <c r="B9449" i="1"/>
  <c r="A9450" i="1"/>
  <c r="A9451" i="1"/>
  <c r="A9452" i="1"/>
  <c r="B9452" i="1"/>
  <c r="A9453" i="1"/>
  <c r="B9453" i="1"/>
  <c r="A9454" i="1"/>
  <c r="B9454" i="1"/>
  <c r="A9455" i="1"/>
  <c r="A9456" i="1"/>
  <c r="B9456" i="1"/>
  <c r="A9457" i="1"/>
  <c r="B9457" i="1"/>
  <c r="A9458" i="1"/>
  <c r="B9458" i="1"/>
  <c r="A9459" i="1"/>
  <c r="B9459" i="1"/>
  <c r="A9460" i="1"/>
  <c r="B9460" i="1"/>
  <c r="A9461" i="1"/>
  <c r="B9461" i="1"/>
  <c r="A9462" i="1"/>
  <c r="B9462" i="1"/>
  <c r="A9463" i="1"/>
  <c r="B9463" i="1"/>
  <c r="A9464" i="1"/>
  <c r="B9464" i="1"/>
  <c r="A9465" i="1"/>
  <c r="B9465" i="1"/>
  <c r="A9466" i="1"/>
  <c r="B9466" i="1"/>
  <c r="A9467" i="1"/>
  <c r="B9467" i="1"/>
  <c r="A9468" i="1"/>
  <c r="B9468" i="1"/>
  <c r="A9469" i="1"/>
  <c r="A9470" i="1"/>
  <c r="B9470" i="1"/>
  <c r="A9471" i="1"/>
  <c r="B9471" i="1"/>
  <c r="A9472" i="1"/>
  <c r="B9472" i="1"/>
  <c r="A9473" i="1"/>
  <c r="A9474" i="1"/>
  <c r="B9474" i="1"/>
  <c r="A9475" i="1"/>
  <c r="B9475" i="1"/>
  <c r="A9476" i="1"/>
  <c r="B9476" i="1"/>
  <c r="A9477" i="1"/>
  <c r="B9477" i="1"/>
  <c r="A9478" i="1"/>
  <c r="B9478" i="1"/>
  <c r="A9479" i="1"/>
  <c r="B9479" i="1"/>
  <c r="A9480" i="1"/>
  <c r="B9480" i="1"/>
  <c r="A9481" i="1"/>
  <c r="B9481" i="1"/>
  <c r="A9482" i="1"/>
  <c r="B9482" i="1"/>
  <c r="A9483" i="1"/>
  <c r="B9483" i="1"/>
  <c r="A9484" i="1"/>
  <c r="B9484" i="1"/>
  <c r="A9485" i="1"/>
  <c r="B9485" i="1"/>
  <c r="A9486" i="1"/>
  <c r="B9486" i="1"/>
  <c r="A9487" i="1"/>
  <c r="B9487" i="1"/>
  <c r="A9488" i="1"/>
  <c r="A9489" i="1"/>
  <c r="B9489" i="1"/>
  <c r="A9490" i="1"/>
  <c r="B9490" i="1"/>
  <c r="A9491" i="1"/>
  <c r="B9491" i="1"/>
  <c r="A9492" i="1"/>
  <c r="B9492" i="1"/>
  <c r="A9493" i="1"/>
  <c r="B9493" i="1"/>
  <c r="A9494" i="1"/>
  <c r="B9494" i="1"/>
  <c r="A9495" i="1"/>
  <c r="B9495" i="1"/>
  <c r="A9496" i="1"/>
  <c r="B9496" i="1"/>
  <c r="A9497" i="1"/>
  <c r="B9497" i="1"/>
  <c r="A9498" i="1"/>
  <c r="B9498" i="1"/>
  <c r="A9499" i="1"/>
  <c r="B9499" i="1"/>
  <c r="A9500" i="1"/>
  <c r="B9500" i="1"/>
  <c r="A9501" i="1"/>
  <c r="B9501" i="1"/>
  <c r="A9502" i="1"/>
  <c r="B9502" i="1"/>
  <c r="A9503" i="1"/>
  <c r="B9503" i="1"/>
  <c r="A9504" i="1"/>
  <c r="B9504" i="1"/>
  <c r="A9505" i="1"/>
  <c r="B9505" i="1"/>
  <c r="A9506" i="1"/>
  <c r="B9506" i="1"/>
  <c r="A9507" i="1"/>
  <c r="B9507" i="1"/>
  <c r="A9508" i="1"/>
  <c r="B9508" i="1"/>
  <c r="A9509" i="1"/>
  <c r="B9509" i="1"/>
  <c r="A9510" i="1"/>
  <c r="B9510" i="1"/>
  <c r="A9511" i="1"/>
  <c r="B9511" i="1"/>
  <c r="A9512" i="1"/>
  <c r="B9512" i="1"/>
  <c r="A9513" i="1"/>
  <c r="B9513" i="1"/>
  <c r="A9514" i="1"/>
  <c r="A9515" i="1"/>
  <c r="B9515" i="1"/>
  <c r="A9516" i="1"/>
  <c r="B9516" i="1"/>
  <c r="A9517" i="1"/>
  <c r="B9517" i="1"/>
  <c r="A9518" i="1"/>
  <c r="B9518" i="1"/>
  <c r="A9519" i="1"/>
  <c r="B9519" i="1"/>
  <c r="A9520" i="1"/>
  <c r="B9520" i="1"/>
  <c r="A9521" i="1"/>
  <c r="B9521" i="1"/>
  <c r="A9522" i="1"/>
  <c r="B9522" i="1"/>
  <c r="A9523" i="1"/>
  <c r="B9523" i="1"/>
  <c r="A9524" i="1"/>
  <c r="B9524" i="1"/>
  <c r="A9525" i="1"/>
  <c r="B9525" i="1"/>
  <c r="A9526" i="1"/>
  <c r="B9526" i="1"/>
  <c r="A9527" i="1"/>
  <c r="B9527" i="1"/>
  <c r="A9528" i="1"/>
  <c r="B9528" i="1"/>
  <c r="A9529" i="1"/>
  <c r="A9530" i="1"/>
  <c r="B9530" i="1"/>
  <c r="A9531" i="1"/>
  <c r="B9531" i="1"/>
  <c r="A9532" i="1"/>
  <c r="B9532" i="1"/>
  <c r="A9533" i="1"/>
  <c r="A9534" i="1"/>
  <c r="B9534" i="1"/>
  <c r="A9535" i="1"/>
  <c r="B9535" i="1"/>
  <c r="A9536" i="1"/>
  <c r="B9536" i="1"/>
  <c r="A9537" i="1"/>
  <c r="B9537" i="1"/>
  <c r="A9538" i="1"/>
  <c r="B9538" i="1"/>
  <c r="A9539" i="1"/>
  <c r="B9539" i="1"/>
  <c r="A9540" i="1"/>
  <c r="B9540" i="1"/>
  <c r="A9541" i="1"/>
  <c r="B9541" i="1"/>
  <c r="A9542" i="1"/>
  <c r="B9542" i="1"/>
  <c r="A9543" i="1"/>
  <c r="B9543" i="1"/>
  <c r="A9544" i="1"/>
  <c r="B9544" i="1"/>
  <c r="A9545" i="1"/>
  <c r="B9545" i="1"/>
  <c r="A9546" i="1"/>
  <c r="B9546" i="1"/>
  <c r="A9547" i="1"/>
  <c r="B9547" i="1"/>
  <c r="A9548" i="1"/>
  <c r="B9548" i="1"/>
  <c r="A9549" i="1"/>
  <c r="B9549" i="1"/>
  <c r="A9550" i="1"/>
  <c r="B9550" i="1"/>
  <c r="A9551" i="1"/>
  <c r="A9552" i="1"/>
  <c r="B9552" i="1"/>
  <c r="A9553" i="1"/>
  <c r="A9554" i="1"/>
  <c r="B9554" i="1"/>
  <c r="A9555" i="1"/>
  <c r="B9555" i="1"/>
  <c r="A9556" i="1"/>
  <c r="B9556" i="1"/>
  <c r="A9557" i="1"/>
  <c r="B9557" i="1"/>
  <c r="A9558" i="1"/>
  <c r="B9558" i="1"/>
  <c r="A9559" i="1"/>
  <c r="B9559" i="1"/>
  <c r="A9560" i="1"/>
  <c r="B9560" i="1"/>
  <c r="A9561" i="1"/>
  <c r="B9561" i="1"/>
  <c r="A9562" i="1"/>
  <c r="B9562" i="1"/>
  <c r="A9563" i="1"/>
  <c r="B9563" i="1"/>
  <c r="A9564" i="1"/>
  <c r="A9565" i="1"/>
  <c r="B9565" i="1"/>
  <c r="A9566" i="1"/>
  <c r="B9566" i="1"/>
  <c r="A9567" i="1"/>
  <c r="B9567" i="1"/>
  <c r="A9568" i="1"/>
  <c r="B9568" i="1"/>
  <c r="A9569" i="1"/>
  <c r="B9569" i="1"/>
  <c r="A9570" i="1"/>
  <c r="B9570" i="1"/>
  <c r="A9571" i="1"/>
  <c r="A9572" i="1"/>
  <c r="B9572" i="1"/>
  <c r="A9573" i="1"/>
  <c r="B9573" i="1"/>
  <c r="A9574" i="1"/>
  <c r="B9574" i="1"/>
  <c r="A9575" i="1"/>
  <c r="B9575" i="1"/>
  <c r="A9576" i="1"/>
  <c r="B9576" i="1"/>
  <c r="A9577" i="1"/>
  <c r="B9577" i="1"/>
  <c r="A9578" i="1"/>
  <c r="A9579" i="1"/>
  <c r="B9579" i="1"/>
  <c r="A9580" i="1"/>
  <c r="B9580" i="1"/>
  <c r="A9581" i="1"/>
  <c r="A9582" i="1"/>
  <c r="A9583" i="1"/>
  <c r="A9584" i="1"/>
  <c r="B9584" i="1"/>
  <c r="A9585" i="1"/>
  <c r="B9585" i="1"/>
  <c r="A9586" i="1"/>
  <c r="B9586" i="1"/>
  <c r="A9587" i="1"/>
  <c r="A9588" i="1"/>
  <c r="B9588" i="1"/>
  <c r="A9589" i="1"/>
  <c r="B9589" i="1"/>
  <c r="A9590" i="1"/>
  <c r="A9591" i="1"/>
  <c r="B9591" i="1"/>
  <c r="A9592" i="1"/>
  <c r="B9592" i="1"/>
  <c r="A9593" i="1"/>
  <c r="B9593" i="1"/>
  <c r="A9594" i="1"/>
  <c r="B9594" i="1"/>
  <c r="A9595" i="1"/>
  <c r="A9596" i="1"/>
  <c r="A9597" i="1"/>
  <c r="A9598" i="1"/>
  <c r="B9598" i="1"/>
  <c r="A9599" i="1"/>
  <c r="B9599" i="1"/>
  <c r="A9600" i="1"/>
  <c r="B9600" i="1"/>
  <c r="A9601" i="1"/>
  <c r="B9601" i="1"/>
  <c r="A9602" i="1"/>
  <c r="B9602" i="1"/>
  <c r="A9603" i="1"/>
  <c r="B9603" i="1"/>
  <c r="A9604" i="1"/>
  <c r="B9604" i="1"/>
  <c r="A9605" i="1"/>
  <c r="B9605" i="1"/>
  <c r="A9606" i="1"/>
  <c r="B9606" i="1"/>
  <c r="A9607" i="1"/>
  <c r="B9607" i="1"/>
  <c r="A9608" i="1"/>
  <c r="B9608" i="1"/>
  <c r="A9609" i="1"/>
  <c r="B9609" i="1"/>
  <c r="A9610" i="1"/>
  <c r="B9610" i="1"/>
  <c r="A9611" i="1"/>
  <c r="B9611" i="1"/>
  <c r="A9612" i="1"/>
  <c r="B9612" i="1"/>
  <c r="A9613" i="1"/>
  <c r="B9613" i="1"/>
  <c r="A9614" i="1"/>
  <c r="B9614" i="1"/>
  <c r="A9615" i="1"/>
  <c r="B9615" i="1"/>
  <c r="A9616" i="1"/>
  <c r="B9616" i="1"/>
  <c r="A9617" i="1"/>
  <c r="B9617" i="1"/>
  <c r="A9618" i="1"/>
  <c r="B9618" i="1"/>
  <c r="A9619" i="1"/>
  <c r="B9619" i="1"/>
  <c r="A9620" i="1"/>
  <c r="B9620" i="1"/>
  <c r="A9621" i="1"/>
  <c r="A9622" i="1"/>
  <c r="B9622" i="1"/>
  <c r="A9623" i="1"/>
  <c r="B9623" i="1"/>
  <c r="A9624" i="1"/>
  <c r="B9624" i="1"/>
  <c r="A9625" i="1"/>
  <c r="B9625" i="1"/>
  <c r="A9626" i="1"/>
  <c r="B9626" i="1"/>
  <c r="A9627" i="1"/>
  <c r="A9628" i="1"/>
  <c r="B9628" i="1"/>
  <c r="A9629" i="1"/>
  <c r="B9629" i="1"/>
  <c r="A9630" i="1"/>
  <c r="A9631" i="1"/>
  <c r="B9631" i="1"/>
  <c r="A9632" i="1"/>
  <c r="B9632" i="1"/>
  <c r="A9633" i="1"/>
  <c r="B9633" i="1"/>
  <c r="A9634" i="1"/>
  <c r="B9634" i="1"/>
  <c r="A9635" i="1"/>
  <c r="B9635" i="1"/>
  <c r="A9636" i="1"/>
  <c r="B9636" i="1"/>
  <c r="A9637" i="1"/>
  <c r="B9637" i="1"/>
  <c r="A9638" i="1"/>
  <c r="B9638" i="1"/>
  <c r="A9639" i="1"/>
  <c r="B9639" i="1"/>
  <c r="A9640" i="1"/>
  <c r="B9640" i="1"/>
  <c r="A9641" i="1"/>
  <c r="B9641" i="1"/>
  <c r="A9642" i="1"/>
  <c r="B9642" i="1"/>
  <c r="A9643" i="1"/>
  <c r="B9643" i="1"/>
  <c r="A9644" i="1"/>
  <c r="B9644" i="1"/>
  <c r="A9645" i="1"/>
  <c r="B9645" i="1"/>
  <c r="A9646" i="1"/>
  <c r="B9646" i="1"/>
  <c r="A9647" i="1"/>
  <c r="B9647" i="1"/>
  <c r="A9648" i="1"/>
  <c r="B9648" i="1"/>
  <c r="A9649" i="1"/>
  <c r="B9649" i="1"/>
  <c r="A9650" i="1"/>
  <c r="B9650" i="1"/>
  <c r="A9651" i="1"/>
  <c r="B9651" i="1"/>
  <c r="A9652" i="1"/>
  <c r="B9652" i="1"/>
  <c r="A9653" i="1"/>
  <c r="B9653" i="1"/>
  <c r="A9654" i="1"/>
  <c r="B9654" i="1"/>
  <c r="A9655" i="1"/>
  <c r="B9655" i="1"/>
  <c r="A9656" i="1"/>
  <c r="B9656" i="1"/>
  <c r="A9657" i="1"/>
  <c r="B9657" i="1"/>
  <c r="A9658" i="1"/>
  <c r="B9658" i="1"/>
  <c r="A9659" i="1"/>
  <c r="B9659" i="1"/>
  <c r="A9660" i="1"/>
  <c r="B9660" i="1"/>
  <c r="A9661" i="1"/>
  <c r="B9661" i="1"/>
  <c r="A9662" i="1"/>
  <c r="B9662" i="1"/>
  <c r="A9663" i="1"/>
  <c r="A9664" i="1"/>
  <c r="B9664" i="1"/>
  <c r="A9665" i="1"/>
  <c r="B9665" i="1"/>
  <c r="A9666" i="1"/>
  <c r="B9666" i="1"/>
  <c r="A9667" i="1"/>
  <c r="B9667" i="1"/>
  <c r="A9668" i="1"/>
  <c r="B9668" i="1"/>
  <c r="A9669" i="1"/>
  <c r="B9669" i="1"/>
  <c r="A9670" i="1"/>
  <c r="B9670" i="1"/>
  <c r="A9671" i="1"/>
  <c r="B9671" i="1"/>
  <c r="A9672" i="1"/>
  <c r="B9672" i="1"/>
  <c r="A9673" i="1"/>
  <c r="B9673" i="1"/>
  <c r="A9674" i="1"/>
  <c r="A9675" i="1"/>
  <c r="B9675" i="1"/>
  <c r="A9676" i="1"/>
  <c r="A9677" i="1"/>
  <c r="A9678" i="1"/>
  <c r="A9679" i="1"/>
  <c r="B9679" i="1"/>
  <c r="A9680" i="1"/>
  <c r="B9680" i="1"/>
  <c r="A9681" i="1"/>
  <c r="B9681" i="1"/>
  <c r="A9682" i="1"/>
  <c r="A9683" i="1"/>
  <c r="A9684" i="1"/>
  <c r="B9684" i="1"/>
  <c r="A9685" i="1"/>
  <c r="A9686" i="1"/>
  <c r="A9687" i="1"/>
  <c r="B9687" i="1"/>
  <c r="A9688" i="1"/>
  <c r="B9688" i="1"/>
  <c r="A9689" i="1"/>
  <c r="B9689" i="1"/>
  <c r="A9690" i="1"/>
  <c r="B9690" i="1"/>
  <c r="A9691" i="1"/>
  <c r="B9691" i="1"/>
  <c r="A9692" i="1"/>
  <c r="B9692" i="1"/>
  <c r="A9693" i="1"/>
  <c r="B9693" i="1"/>
  <c r="A9694" i="1"/>
  <c r="B9694" i="1"/>
  <c r="A9695" i="1"/>
  <c r="A9696" i="1"/>
  <c r="B9696" i="1"/>
  <c r="A9697" i="1"/>
  <c r="A9698" i="1"/>
  <c r="B9698" i="1"/>
  <c r="A9699" i="1"/>
  <c r="B9699" i="1"/>
  <c r="A9700" i="1"/>
  <c r="B9700" i="1"/>
  <c r="A9701" i="1"/>
  <c r="B9701" i="1"/>
  <c r="A9702" i="1"/>
  <c r="A9703" i="1"/>
  <c r="A9704" i="1"/>
  <c r="B9704" i="1"/>
  <c r="A9705" i="1"/>
  <c r="B9705" i="1"/>
  <c r="A9706" i="1"/>
  <c r="A9707" i="1"/>
  <c r="A9708" i="1"/>
  <c r="A9709" i="1"/>
  <c r="B9709" i="1"/>
  <c r="A9710" i="1"/>
  <c r="B9710" i="1"/>
  <c r="A9711" i="1"/>
  <c r="B9711" i="1"/>
  <c r="A9712" i="1"/>
  <c r="B9712" i="1"/>
  <c r="A9713" i="1"/>
  <c r="B9713" i="1"/>
  <c r="A9714" i="1"/>
  <c r="B9714" i="1"/>
  <c r="A9715" i="1"/>
  <c r="B9715" i="1"/>
  <c r="A9716" i="1"/>
  <c r="A9717" i="1"/>
  <c r="B9717" i="1"/>
  <c r="A9718" i="1"/>
  <c r="B9718" i="1"/>
  <c r="A9719" i="1"/>
  <c r="B9719" i="1"/>
  <c r="A9720" i="1"/>
  <c r="B9720" i="1"/>
  <c r="A9721" i="1"/>
  <c r="B9721" i="1"/>
  <c r="A9722" i="1"/>
  <c r="A9723" i="1"/>
  <c r="B9723" i="1"/>
  <c r="A9724" i="1"/>
  <c r="A9725" i="1"/>
  <c r="A9726" i="1"/>
  <c r="B9726" i="1"/>
  <c r="A9727" i="1"/>
  <c r="A9728" i="1"/>
  <c r="B9728" i="1"/>
  <c r="A9729" i="1"/>
  <c r="B9729" i="1"/>
  <c r="A9730" i="1"/>
  <c r="B9730" i="1"/>
  <c r="A9731" i="1"/>
  <c r="B9731" i="1"/>
  <c r="A9732" i="1"/>
  <c r="B9732" i="1"/>
  <c r="A9733" i="1"/>
  <c r="B9733" i="1"/>
  <c r="A9734" i="1"/>
  <c r="B9734" i="1"/>
  <c r="A9735" i="1"/>
  <c r="B9735" i="1"/>
  <c r="A9736" i="1"/>
  <c r="B9736" i="1"/>
  <c r="A9737" i="1"/>
  <c r="B9737" i="1"/>
  <c r="A9738" i="1"/>
  <c r="B9738" i="1"/>
  <c r="A9739" i="1"/>
  <c r="B9739" i="1"/>
  <c r="A9740" i="1"/>
  <c r="B9740" i="1"/>
  <c r="A9741" i="1"/>
  <c r="B9741" i="1"/>
  <c r="A9742" i="1"/>
  <c r="B9742" i="1"/>
  <c r="A9743" i="1"/>
  <c r="A9744" i="1"/>
  <c r="A9745" i="1"/>
  <c r="A9746" i="1"/>
  <c r="A9747" i="1"/>
  <c r="A9748" i="1"/>
  <c r="A9749" i="1"/>
  <c r="A9750" i="1"/>
  <c r="A9751" i="1"/>
  <c r="B9751" i="1"/>
  <c r="A9752" i="1"/>
  <c r="B9752" i="1"/>
  <c r="A9753" i="1"/>
  <c r="B9753" i="1"/>
  <c r="A9754" i="1"/>
  <c r="B9754" i="1"/>
  <c r="A9755" i="1"/>
  <c r="A9756" i="1"/>
  <c r="B9756" i="1"/>
  <c r="A9757" i="1"/>
  <c r="A9758" i="1"/>
  <c r="B9758" i="1"/>
  <c r="A9759" i="1"/>
  <c r="B9759" i="1"/>
  <c r="A9760" i="1"/>
  <c r="B9760" i="1"/>
  <c r="A9761" i="1"/>
  <c r="B9761" i="1"/>
  <c r="A9762" i="1"/>
  <c r="B9762" i="1"/>
  <c r="A9763" i="1"/>
  <c r="B9763" i="1"/>
  <c r="A9764" i="1"/>
  <c r="B9764" i="1"/>
  <c r="A9765" i="1"/>
  <c r="B9765" i="1"/>
  <c r="A9766" i="1"/>
  <c r="B9766" i="1"/>
  <c r="A9767" i="1"/>
  <c r="B9767" i="1"/>
  <c r="A9768" i="1"/>
  <c r="A9769" i="1"/>
  <c r="B9769" i="1"/>
  <c r="A9770" i="1"/>
  <c r="B9770" i="1"/>
  <c r="A9771" i="1"/>
  <c r="B9771" i="1"/>
  <c r="A9772" i="1"/>
  <c r="B9772" i="1"/>
  <c r="A9773" i="1"/>
  <c r="B9773" i="1"/>
  <c r="A9774" i="1"/>
  <c r="B9774" i="1"/>
  <c r="A9775" i="1"/>
  <c r="B9775" i="1"/>
  <c r="A9776" i="1"/>
  <c r="B9776" i="1"/>
  <c r="A9777" i="1"/>
  <c r="A9778" i="1"/>
  <c r="B9778" i="1"/>
  <c r="A9779" i="1"/>
  <c r="B9779" i="1"/>
  <c r="A9780" i="1"/>
  <c r="B9780" i="1"/>
  <c r="A9781" i="1"/>
  <c r="B9781" i="1"/>
  <c r="A9782" i="1"/>
  <c r="A9783" i="1"/>
  <c r="A9784" i="1"/>
  <c r="A9785" i="1"/>
  <c r="A9786" i="1"/>
  <c r="B9786" i="1"/>
  <c r="A9787" i="1"/>
  <c r="B9787" i="1"/>
  <c r="A9788" i="1"/>
  <c r="A9789" i="1"/>
  <c r="A9790" i="1"/>
  <c r="A9791" i="1"/>
  <c r="A9792" i="1"/>
  <c r="A9793" i="1"/>
  <c r="A9794" i="1"/>
  <c r="A9795" i="1"/>
  <c r="B9795" i="1"/>
  <c r="A9796" i="1"/>
  <c r="B9796" i="1"/>
  <c r="A9797" i="1"/>
  <c r="B9797" i="1"/>
  <c r="A9798" i="1"/>
  <c r="A9799" i="1"/>
  <c r="B9799" i="1"/>
  <c r="A9800" i="1"/>
  <c r="B9800" i="1"/>
  <c r="A9801" i="1"/>
  <c r="B9801" i="1"/>
  <c r="A9802" i="1"/>
  <c r="B9802" i="1"/>
  <c r="A9803" i="1"/>
  <c r="B9803" i="1"/>
  <c r="A9804" i="1"/>
  <c r="B9804" i="1"/>
  <c r="A9805" i="1"/>
  <c r="A9806" i="1"/>
  <c r="A9807" i="1"/>
  <c r="A9808" i="1"/>
  <c r="A9809" i="1"/>
  <c r="A9810" i="1"/>
  <c r="A9811" i="1"/>
  <c r="A9812" i="1"/>
  <c r="B9812" i="1"/>
  <c r="A9813" i="1"/>
  <c r="A9814" i="1"/>
  <c r="B9814" i="1"/>
  <c r="A9815" i="1"/>
  <c r="B9815" i="1"/>
  <c r="A9816" i="1"/>
  <c r="B9816" i="1"/>
  <c r="A9817" i="1"/>
  <c r="B9817" i="1"/>
  <c r="A9818" i="1"/>
  <c r="A9819" i="1"/>
  <c r="B9819" i="1"/>
  <c r="A9820" i="1"/>
  <c r="B9820" i="1"/>
  <c r="A9821" i="1"/>
  <c r="B9821" i="1"/>
  <c r="A9822" i="1"/>
  <c r="A9823" i="1"/>
  <c r="B9823" i="1"/>
  <c r="A9824" i="1"/>
  <c r="B9824" i="1"/>
  <c r="A9825" i="1"/>
  <c r="B9825" i="1"/>
  <c r="A9826" i="1"/>
  <c r="A9827" i="1"/>
  <c r="B9827" i="1"/>
  <c r="A9828" i="1"/>
  <c r="A9829" i="1"/>
  <c r="B9829" i="1"/>
  <c r="A9830" i="1"/>
  <c r="B9830" i="1"/>
  <c r="A9831" i="1"/>
  <c r="B9831" i="1"/>
  <c r="A9832" i="1"/>
  <c r="B9832" i="1"/>
  <c r="A9833" i="1"/>
  <c r="B9833" i="1"/>
  <c r="A9834" i="1"/>
  <c r="B9834" i="1"/>
  <c r="A9835" i="1"/>
  <c r="A9836" i="1"/>
  <c r="B9836" i="1"/>
  <c r="A9837" i="1"/>
  <c r="B9837" i="1"/>
  <c r="A9838" i="1"/>
  <c r="B9838" i="1"/>
  <c r="A9839" i="1"/>
  <c r="B9839" i="1"/>
  <c r="A9840" i="1"/>
  <c r="B9840" i="1"/>
  <c r="A9841" i="1"/>
  <c r="B9841" i="1"/>
  <c r="A9842" i="1"/>
  <c r="B9842" i="1"/>
  <c r="A9843" i="1"/>
  <c r="B9843" i="1"/>
  <c r="A9844" i="1"/>
  <c r="B9844" i="1"/>
  <c r="A9845" i="1"/>
  <c r="B9845" i="1"/>
  <c r="A9846" i="1"/>
  <c r="B9846" i="1"/>
  <c r="A9847" i="1"/>
  <c r="B9847" i="1"/>
  <c r="A9848" i="1"/>
  <c r="B9848" i="1"/>
  <c r="A9849" i="1"/>
  <c r="B9849" i="1"/>
  <c r="A9850" i="1"/>
  <c r="B9850" i="1"/>
  <c r="A9851" i="1"/>
  <c r="A9852" i="1"/>
  <c r="A9853" i="1"/>
  <c r="B9853" i="1"/>
  <c r="A9854" i="1"/>
  <c r="B9854" i="1"/>
  <c r="A9855" i="1"/>
  <c r="B9855" i="1"/>
  <c r="A9856" i="1"/>
  <c r="B9856" i="1"/>
  <c r="A9857" i="1"/>
  <c r="B9857" i="1"/>
  <c r="A9858" i="1"/>
  <c r="B9858" i="1"/>
  <c r="A9859" i="1"/>
  <c r="B9859" i="1"/>
  <c r="A9860" i="1"/>
  <c r="A9861" i="1"/>
  <c r="B9861" i="1"/>
  <c r="A9862" i="1"/>
  <c r="A9863" i="1"/>
  <c r="A9864" i="1"/>
  <c r="B9864" i="1"/>
  <c r="A9865" i="1"/>
  <c r="B9865" i="1"/>
  <c r="A9866" i="1"/>
  <c r="B9866" i="1"/>
  <c r="A9867" i="1"/>
  <c r="B9867" i="1"/>
  <c r="A9868" i="1"/>
  <c r="B9868" i="1"/>
  <c r="A9869" i="1"/>
  <c r="B9869" i="1"/>
  <c r="A9870" i="1"/>
  <c r="B9870" i="1"/>
  <c r="A9871" i="1"/>
  <c r="A9872" i="1"/>
  <c r="B9872" i="1"/>
  <c r="A9873" i="1"/>
  <c r="B9873" i="1"/>
  <c r="A9874" i="1"/>
  <c r="B9874" i="1"/>
  <c r="A9875" i="1"/>
  <c r="B9875" i="1"/>
  <c r="A9876" i="1"/>
  <c r="A9877" i="1"/>
  <c r="A9878" i="1"/>
  <c r="B9878" i="1"/>
  <c r="A9879" i="1"/>
  <c r="A9880" i="1"/>
  <c r="A9881" i="1"/>
  <c r="A9882" i="1"/>
  <c r="A9883" i="1"/>
  <c r="B9883" i="1"/>
  <c r="A9884" i="1"/>
  <c r="B9884" i="1"/>
  <c r="A9885" i="1"/>
  <c r="B9885" i="1"/>
  <c r="A9886" i="1"/>
  <c r="B9886" i="1"/>
  <c r="A9887" i="1"/>
  <c r="A9888" i="1"/>
  <c r="A9889" i="1"/>
  <c r="A9890" i="1"/>
  <c r="B9890" i="1"/>
  <c r="A9891" i="1"/>
  <c r="B9891" i="1"/>
  <c r="A9892" i="1"/>
  <c r="B9892" i="1"/>
  <c r="A9893" i="1"/>
  <c r="A9894" i="1"/>
  <c r="A9895" i="1"/>
  <c r="B9895" i="1"/>
  <c r="A9896" i="1"/>
  <c r="B9896" i="1"/>
  <c r="A9897" i="1"/>
  <c r="B9897" i="1"/>
  <c r="A9898" i="1"/>
  <c r="B9898" i="1"/>
  <c r="A9899" i="1"/>
  <c r="A9900" i="1"/>
  <c r="B9900" i="1"/>
  <c r="A9901" i="1"/>
  <c r="B9901" i="1"/>
  <c r="A9902" i="1"/>
  <c r="B9902" i="1"/>
  <c r="A9903" i="1"/>
  <c r="B9903" i="1"/>
  <c r="A9904" i="1"/>
  <c r="B9904" i="1"/>
  <c r="A9905" i="1"/>
  <c r="B9905" i="1"/>
  <c r="A9906" i="1"/>
  <c r="B9906" i="1"/>
  <c r="A9907" i="1"/>
  <c r="B9907" i="1"/>
  <c r="A9908" i="1"/>
  <c r="B9908" i="1"/>
  <c r="A9909" i="1"/>
  <c r="A9910" i="1"/>
  <c r="B9910" i="1"/>
  <c r="A9911" i="1"/>
  <c r="A9912" i="1"/>
  <c r="A9913" i="1"/>
  <c r="B9913" i="1"/>
  <c r="A9914" i="1"/>
  <c r="B9914" i="1"/>
  <c r="A9915" i="1"/>
  <c r="B9915" i="1"/>
  <c r="A9916" i="1"/>
  <c r="B9916" i="1"/>
  <c r="A9917" i="1"/>
  <c r="B9917" i="1"/>
  <c r="A9918" i="1"/>
  <c r="B9918" i="1"/>
  <c r="A9919" i="1"/>
  <c r="B9919" i="1"/>
  <c r="A9920" i="1"/>
  <c r="A9921" i="1"/>
  <c r="A9922" i="1"/>
  <c r="B9922" i="1"/>
  <c r="A9923" i="1"/>
  <c r="A9924" i="1"/>
  <c r="B9924" i="1"/>
  <c r="A9925" i="1"/>
  <c r="B9925" i="1"/>
  <c r="A9926" i="1"/>
  <c r="B9926" i="1"/>
  <c r="A9927" i="1"/>
  <c r="A9928" i="1"/>
  <c r="B9928" i="1"/>
  <c r="A9929" i="1"/>
  <c r="B9929" i="1"/>
  <c r="A9930" i="1"/>
  <c r="B9930" i="1"/>
  <c r="A9931" i="1"/>
  <c r="B9931" i="1"/>
  <c r="A9932" i="1"/>
  <c r="A9933" i="1"/>
  <c r="B9933" i="1"/>
  <c r="A9934" i="1"/>
  <c r="B9934" i="1"/>
  <c r="A9935" i="1"/>
  <c r="B9935" i="1"/>
  <c r="A9936" i="1"/>
  <c r="B9936" i="1"/>
  <c r="A9937" i="1"/>
  <c r="B9937" i="1"/>
  <c r="A9938" i="1"/>
  <c r="B9938" i="1"/>
  <c r="A9939" i="1"/>
  <c r="A9940" i="1"/>
  <c r="B9940" i="1"/>
  <c r="A9941" i="1"/>
  <c r="A9942" i="1"/>
  <c r="A9943" i="1"/>
  <c r="A9944" i="1"/>
  <c r="A9945" i="1"/>
  <c r="B9945" i="1"/>
  <c r="A9946" i="1"/>
  <c r="A9947" i="1"/>
  <c r="B9947" i="1"/>
  <c r="A9948" i="1"/>
  <c r="A9949" i="1"/>
  <c r="A9950" i="1"/>
  <c r="A9951" i="1"/>
  <c r="A9952" i="1"/>
  <c r="A9953" i="1"/>
  <c r="A9954" i="1"/>
  <c r="B9954" i="1"/>
  <c r="A9955" i="1"/>
  <c r="B9955" i="1"/>
  <c r="A9956" i="1"/>
  <c r="A9957" i="1"/>
  <c r="B9957" i="1"/>
  <c r="A9958" i="1"/>
  <c r="B9958" i="1"/>
  <c r="A9959" i="1"/>
  <c r="B9959" i="1"/>
  <c r="A9960" i="1"/>
  <c r="B9960" i="1"/>
  <c r="A9961" i="1"/>
  <c r="A9962" i="1"/>
  <c r="B9962" i="1"/>
  <c r="A9963" i="1"/>
  <c r="B9963" i="1"/>
  <c r="A9964" i="1"/>
  <c r="B9964" i="1"/>
  <c r="A9965" i="1"/>
  <c r="B9965" i="1"/>
  <c r="A9966" i="1"/>
  <c r="B9966" i="1"/>
  <c r="A9967" i="1"/>
  <c r="B9967" i="1"/>
  <c r="A9968" i="1"/>
  <c r="A9969" i="1"/>
  <c r="A9970" i="1"/>
  <c r="A9971" i="1"/>
  <c r="B9971" i="1"/>
  <c r="A9972" i="1"/>
  <c r="A9973" i="1"/>
  <c r="B9973" i="1"/>
  <c r="A9974" i="1"/>
  <c r="A9975" i="1"/>
  <c r="B9975" i="1"/>
  <c r="A9976" i="1"/>
  <c r="A9977" i="1"/>
  <c r="B9977" i="1"/>
  <c r="A9978" i="1"/>
  <c r="A9979" i="1"/>
  <c r="B9979" i="1"/>
  <c r="A9980" i="1"/>
  <c r="A9981" i="1"/>
  <c r="A9982" i="1"/>
  <c r="B9982" i="1"/>
  <c r="A9983" i="1"/>
  <c r="B9983" i="1"/>
  <c r="A9984" i="1"/>
  <c r="A9985" i="1"/>
  <c r="A9986" i="1"/>
  <c r="A9987" i="1"/>
  <c r="A9988" i="1"/>
  <c r="A9989" i="1"/>
  <c r="A9990" i="1"/>
  <c r="B9990" i="1"/>
  <c r="A9991" i="1"/>
  <c r="B9991" i="1"/>
  <c r="A9992" i="1"/>
  <c r="B9992" i="1"/>
  <c r="A9993" i="1"/>
  <c r="B9993" i="1"/>
  <c r="A9994" i="1"/>
  <c r="B9994" i="1"/>
  <c r="A9995" i="1"/>
  <c r="B9995" i="1"/>
  <c r="A9996" i="1"/>
  <c r="B9996" i="1"/>
  <c r="A9997" i="1"/>
  <c r="B9997" i="1"/>
  <c r="A9998" i="1"/>
  <c r="B9998" i="1"/>
  <c r="A9999" i="1"/>
  <c r="B9999" i="1"/>
  <c r="A10000" i="1"/>
  <c r="A10001" i="1"/>
  <c r="B10001" i="1"/>
  <c r="A10002" i="1"/>
  <c r="B10002" i="1"/>
  <c r="A10003" i="1"/>
  <c r="B10003" i="1"/>
  <c r="A10004" i="1"/>
  <c r="A10005" i="1"/>
  <c r="B10005" i="1"/>
  <c r="A10006" i="1"/>
  <c r="B10006" i="1"/>
  <c r="A10007" i="1"/>
  <c r="B10007" i="1"/>
  <c r="A10008" i="1"/>
  <c r="B10008" i="1"/>
  <c r="A10009" i="1"/>
  <c r="B10009" i="1"/>
  <c r="A10010" i="1"/>
  <c r="B10010" i="1"/>
  <c r="A10011" i="1"/>
  <c r="B10011" i="1"/>
  <c r="A10012" i="1"/>
  <c r="A10013" i="1"/>
  <c r="B10013" i="1"/>
  <c r="A10014" i="1"/>
  <c r="B10014" i="1"/>
  <c r="A10015" i="1"/>
  <c r="B10015" i="1"/>
  <c r="A10016" i="1"/>
  <c r="A10017" i="1"/>
  <c r="A10018" i="1"/>
  <c r="B10018" i="1"/>
  <c r="A10019" i="1"/>
  <c r="B10019" i="1"/>
  <c r="A10020" i="1"/>
  <c r="B10020" i="1"/>
  <c r="A10021" i="1"/>
  <c r="B10021" i="1"/>
  <c r="A10022" i="1"/>
  <c r="A10023" i="1"/>
  <c r="B10023" i="1"/>
  <c r="A10024" i="1"/>
  <c r="B10024" i="1"/>
  <c r="A10025" i="1"/>
  <c r="B10025" i="1"/>
  <c r="A10026" i="1"/>
  <c r="B10026" i="1"/>
  <c r="A10027" i="1"/>
  <c r="A10028" i="1"/>
  <c r="B10028" i="1"/>
  <c r="A10029" i="1"/>
  <c r="A10030" i="1"/>
  <c r="B10030" i="1"/>
  <c r="A10031" i="1"/>
  <c r="A10032" i="1"/>
  <c r="A10033" i="1"/>
  <c r="A10034" i="1"/>
  <c r="B10034" i="1"/>
  <c r="A10035" i="1"/>
  <c r="A10036" i="1"/>
  <c r="B10036" i="1"/>
  <c r="A10037" i="1"/>
  <c r="B10037" i="1"/>
  <c r="A10038" i="1"/>
  <c r="B10038" i="1"/>
  <c r="A10039" i="1"/>
  <c r="A10040" i="1"/>
  <c r="B10040" i="1"/>
  <c r="A10041" i="1"/>
  <c r="B10041" i="1"/>
  <c r="A10042" i="1"/>
  <c r="B10042" i="1"/>
  <c r="A10043" i="1"/>
  <c r="B10043" i="1"/>
  <c r="A10044" i="1"/>
  <c r="B10044" i="1"/>
  <c r="A10045" i="1"/>
  <c r="B10045" i="1"/>
  <c r="A10046" i="1"/>
  <c r="A10047" i="1"/>
  <c r="B10047" i="1"/>
  <c r="A10048" i="1"/>
  <c r="B10048" i="1"/>
  <c r="A10049" i="1"/>
  <c r="B10049" i="1"/>
  <c r="A10050" i="1"/>
  <c r="A10051" i="1"/>
  <c r="B10051" i="1"/>
  <c r="A10052" i="1"/>
  <c r="A10053" i="1"/>
  <c r="B10053" i="1"/>
  <c r="A10054" i="1"/>
  <c r="A10055" i="1"/>
  <c r="B10055" i="1"/>
  <c r="A10056" i="1"/>
  <c r="B10056" i="1"/>
  <c r="A10057" i="1"/>
  <c r="A10058" i="1"/>
  <c r="B10058" i="1"/>
  <c r="A10059" i="1"/>
  <c r="B10059" i="1"/>
  <c r="A10060" i="1"/>
  <c r="B10060" i="1"/>
  <c r="A10061" i="1"/>
  <c r="B10061" i="1"/>
  <c r="A10062" i="1"/>
  <c r="B10062" i="1"/>
  <c r="A10063" i="1"/>
  <c r="B10063" i="1"/>
  <c r="A10064" i="1"/>
  <c r="B10064" i="1"/>
  <c r="A10065" i="1"/>
  <c r="B10065" i="1"/>
  <c r="A10066" i="1"/>
  <c r="B10066" i="1"/>
  <c r="A10067" i="1"/>
  <c r="A10068" i="1"/>
  <c r="B10068" i="1"/>
  <c r="A10069" i="1"/>
  <c r="B10069" i="1"/>
  <c r="A10070" i="1"/>
  <c r="A10071" i="1"/>
  <c r="A10072" i="1"/>
  <c r="B10072" i="1"/>
  <c r="A10073" i="1"/>
  <c r="A10074" i="1"/>
  <c r="A10075" i="1"/>
  <c r="A10076" i="1"/>
  <c r="A10077" i="1"/>
  <c r="A10078" i="1"/>
  <c r="B10078" i="1"/>
  <c r="A10079" i="1"/>
  <c r="B10079" i="1"/>
  <c r="A10080" i="1"/>
  <c r="B10080" i="1"/>
  <c r="A10081" i="1"/>
  <c r="B10081" i="1"/>
  <c r="A10082" i="1"/>
  <c r="B10082" i="1"/>
  <c r="A10083" i="1"/>
  <c r="B10083" i="1"/>
  <c r="A10084" i="1"/>
  <c r="B10084" i="1"/>
  <c r="A10085" i="1"/>
  <c r="B10085" i="1"/>
  <c r="A10086" i="1"/>
  <c r="B10086" i="1"/>
  <c r="A10087" i="1"/>
  <c r="B10087" i="1"/>
  <c r="A10088" i="1"/>
  <c r="B10088" i="1"/>
  <c r="A10089" i="1"/>
  <c r="B10089" i="1"/>
  <c r="A10090" i="1"/>
  <c r="A10091" i="1"/>
  <c r="B10091" i="1"/>
  <c r="A10092" i="1"/>
  <c r="B10092" i="1"/>
  <c r="A10093" i="1"/>
  <c r="B10093" i="1"/>
  <c r="A10094" i="1"/>
  <c r="B10094" i="1"/>
  <c r="A10095" i="1"/>
  <c r="B10095" i="1"/>
  <c r="A10096" i="1"/>
  <c r="B10096" i="1"/>
  <c r="A10097" i="1"/>
  <c r="B10097" i="1"/>
  <c r="A10098" i="1"/>
  <c r="B10098" i="1"/>
  <c r="A10099" i="1"/>
  <c r="B10099" i="1"/>
  <c r="A10100" i="1"/>
  <c r="B10100" i="1"/>
  <c r="A10101" i="1"/>
  <c r="B10101" i="1"/>
  <c r="A10102" i="1"/>
  <c r="B10102" i="1"/>
  <c r="A10103" i="1"/>
  <c r="B10103" i="1"/>
  <c r="A10104" i="1"/>
  <c r="B10104" i="1"/>
  <c r="A10105" i="1"/>
  <c r="B10105" i="1"/>
  <c r="A10106" i="1"/>
  <c r="B10106" i="1"/>
  <c r="A10107" i="1"/>
  <c r="B10107" i="1"/>
  <c r="A10108" i="1"/>
  <c r="B10108" i="1"/>
  <c r="A10109" i="1"/>
  <c r="B10109" i="1"/>
  <c r="A10110" i="1"/>
  <c r="B10110" i="1"/>
  <c r="A10111" i="1"/>
  <c r="A10112" i="1"/>
  <c r="B10112" i="1"/>
  <c r="A10113" i="1"/>
  <c r="A10114" i="1"/>
  <c r="A10115" i="1"/>
  <c r="A10116" i="1"/>
  <c r="B10116" i="1"/>
  <c r="A10117" i="1"/>
  <c r="B10117" i="1"/>
  <c r="A10118" i="1"/>
  <c r="B10118" i="1"/>
  <c r="A10119" i="1"/>
  <c r="B10119" i="1"/>
  <c r="A10120" i="1"/>
  <c r="B10120" i="1"/>
  <c r="A10121" i="1"/>
  <c r="B10121" i="1"/>
  <c r="A10122" i="1"/>
  <c r="B10122" i="1"/>
  <c r="A10123" i="1"/>
  <c r="B10123" i="1"/>
  <c r="A10124" i="1"/>
  <c r="B10124" i="1"/>
  <c r="A10125" i="1"/>
  <c r="B10125" i="1"/>
  <c r="A10126" i="1"/>
  <c r="B10126" i="1"/>
  <c r="A10127" i="1"/>
  <c r="B10127" i="1"/>
  <c r="A10128" i="1"/>
  <c r="A10129" i="1"/>
  <c r="B10129" i="1"/>
  <c r="A10130" i="1"/>
  <c r="B10130" i="1"/>
  <c r="A10131" i="1"/>
  <c r="B10131" i="1"/>
  <c r="A10132" i="1"/>
  <c r="A10133" i="1"/>
  <c r="B10133" i="1"/>
  <c r="A10134" i="1"/>
  <c r="B10134" i="1"/>
  <c r="A10135" i="1"/>
  <c r="B10135" i="1"/>
  <c r="A10136" i="1"/>
  <c r="B10136" i="1"/>
  <c r="A10137" i="1"/>
  <c r="B10137" i="1"/>
  <c r="A10138" i="1"/>
  <c r="B10138" i="1"/>
  <c r="A10139" i="1"/>
  <c r="B10139" i="1"/>
  <c r="A10140" i="1"/>
  <c r="B10140" i="1"/>
  <c r="A10141" i="1"/>
  <c r="B10141" i="1"/>
  <c r="A10142" i="1"/>
  <c r="B10142" i="1"/>
  <c r="A10143" i="1"/>
  <c r="B10143" i="1"/>
  <c r="A10144" i="1"/>
  <c r="B10144" i="1"/>
  <c r="A10145" i="1"/>
  <c r="A10146" i="1"/>
  <c r="B10146" i="1"/>
  <c r="A10147" i="1"/>
  <c r="B10147" i="1"/>
  <c r="A10148" i="1"/>
  <c r="A10149" i="1"/>
  <c r="B10149" i="1"/>
  <c r="A10150" i="1"/>
  <c r="A10151" i="1"/>
  <c r="B10151" i="1"/>
  <c r="A10152" i="1"/>
  <c r="B10152" i="1"/>
  <c r="A10153" i="1"/>
  <c r="B10153" i="1"/>
  <c r="A10154" i="1"/>
  <c r="B10154" i="1"/>
  <c r="A10155" i="1"/>
  <c r="B10155" i="1"/>
  <c r="A10156" i="1"/>
  <c r="B10156" i="1"/>
  <c r="A10157" i="1"/>
  <c r="B10157" i="1"/>
  <c r="A10158" i="1"/>
  <c r="B10158" i="1"/>
  <c r="A10159" i="1"/>
  <c r="B10159" i="1"/>
  <c r="A10160" i="1"/>
  <c r="B10160" i="1"/>
  <c r="A10161" i="1"/>
  <c r="B10161" i="1"/>
  <c r="A10162" i="1"/>
  <c r="B10162" i="1"/>
  <c r="A10163" i="1"/>
  <c r="B10163" i="1"/>
  <c r="A10164" i="1"/>
  <c r="B10164" i="1"/>
  <c r="A10165" i="1"/>
  <c r="B10165" i="1"/>
  <c r="A10166" i="1"/>
  <c r="B10166" i="1"/>
  <c r="A10167" i="1"/>
  <c r="A10168" i="1"/>
  <c r="B10168" i="1"/>
  <c r="A10169" i="1"/>
  <c r="A10170" i="1"/>
  <c r="B10170" i="1"/>
  <c r="A10171" i="1"/>
  <c r="B10171" i="1"/>
  <c r="A10172" i="1"/>
  <c r="B10172" i="1"/>
  <c r="A10173" i="1"/>
  <c r="B10173" i="1"/>
  <c r="A10174" i="1"/>
  <c r="B10174" i="1"/>
  <c r="A10175" i="1"/>
  <c r="A10176" i="1"/>
  <c r="A10177" i="1"/>
  <c r="B10177" i="1"/>
  <c r="A10178" i="1"/>
  <c r="B10178" i="1"/>
  <c r="A10179" i="1"/>
  <c r="B10179" i="1"/>
  <c r="A10180" i="1"/>
  <c r="B10180" i="1"/>
  <c r="A10181" i="1"/>
  <c r="A10182" i="1"/>
  <c r="B10182" i="1"/>
  <c r="A10183" i="1"/>
  <c r="A10184" i="1"/>
  <c r="B10184" i="1"/>
  <c r="A10185" i="1"/>
  <c r="B10185" i="1"/>
  <c r="A10186" i="1"/>
  <c r="A10187" i="1"/>
  <c r="A10188" i="1"/>
  <c r="B10188" i="1"/>
  <c r="A10189" i="1"/>
  <c r="B10189" i="1"/>
  <c r="A10190" i="1"/>
  <c r="A10191" i="1"/>
  <c r="B10191" i="1"/>
  <c r="A10192" i="1"/>
  <c r="B10192" i="1"/>
  <c r="A10193" i="1"/>
  <c r="A10194" i="1"/>
  <c r="B10194" i="1"/>
  <c r="A10195" i="1"/>
  <c r="B10195" i="1"/>
  <c r="A10196" i="1"/>
  <c r="B10196" i="1"/>
  <c r="A10197" i="1"/>
  <c r="B10197" i="1"/>
  <c r="A10198" i="1"/>
  <c r="B10198" i="1"/>
  <c r="A10199" i="1"/>
  <c r="B10199" i="1"/>
  <c r="A10200" i="1"/>
  <c r="B10200" i="1"/>
  <c r="A10201" i="1"/>
  <c r="B10201" i="1"/>
  <c r="A10202" i="1"/>
  <c r="B10202" i="1"/>
  <c r="A10203" i="1"/>
  <c r="B10203" i="1"/>
  <c r="A10204" i="1"/>
  <c r="B10204" i="1"/>
  <c r="A10205" i="1"/>
  <c r="B10205" i="1"/>
  <c r="A10206" i="1"/>
  <c r="B10206" i="1"/>
  <c r="A10207" i="1"/>
  <c r="B10207" i="1"/>
  <c r="A10208" i="1"/>
  <c r="B10208" i="1"/>
  <c r="A10209" i="1"/>
  <c r="B10209" i="1"/>
  <c r="A10210" i="1"/>
  <c r="B10210" i="1"/>
  <c r="A10211" i="1"/>
  <c r="A10212" i="1"/>
  <c r="B10212" i="1"/>
  <c r="A10213" i="1"/>
  <c r="B10213" i="1"/>
  <c r="A10214" i="1"/>
  <c r="B10214" i="1"/>
  <c r="A10215" i="1"/>
  <c r="A10216" i="1"/>
  <c r="A10217" i="1"/>
  <c r="A10218" i="1"/>
  <c r="A10219" i="1"/>
  <c r="A10220" i="1"/>
  <c r="A10221" i="1"/>
  <c r="A10222" i="1"/>
  <c r="A10223" i="1"/>
  <c r="A10224" i="1"/>
  <c r="A10225" i="1"/>
  <c r="A10226" i="1"/>
  <c r="A10227" i="1"/>
  <c r="B10227" i="1"/>
  <c r="A10228" i="1"/>
  <c r="B10228" i="1"/>
  <c r="A10229" i="1"/>
  <c r="A10230" i="1"/>
  <c r="A10231" i="1"/>
  <c r="B10231" i="1"/>
  <c r="A10232" i="1"/>
  <c r="B10232" i="1"/>
  <c r="A10233" i="1"/>
  <c r="B10233" i="1"/>
  <c r="A10234" i="1"/>
  <c r="A10235" i="1"/>
  <c r="B10235" i="1"/>
  <c r="A10236" i="1"/>
  <c r="B10236" i="1"/>
  <c r="A10237" i="1"/>
  <c r="B10237" i="1"/>
  <c r="A10238" i="1"/>
  <c r="B10238" i="1"/>
  <c r="A10239" i="1"/>
  <c r="B10239" i="1"/>
  <c r="A10240" i="1"/>
  <c r="B10240" i="1"/>
  <c r="A10241" i="1"/>
  <c r="B10241" i="1"/>
  <c r="A10242" i="1"/>
  <c r="B10242" i="1"/>
  <c r="A10243" i="1"/>
  <c r="B10243" i="1"/>
  <c r="A10244" i="1"/>
  <c r="B10244" i="1"/>
  <c r="A10245" i="1"/>
  <c r="B10245" i="1"/>
  <c r="A10246" i="1"/>
  <c r="B10246" i="1"/>
  <c r="A10247" i="1"/>
  <c r="B10247" i="1"/>
  <c r="A10248" i="1"/>
  <c r="B10248" i="1"/>
  <c r="A10249" i="1"/>
  <c r="B10249" i="1"/>
  <c r="A10250" i="1"/>
  <c r="B10250" i="1"/>
  <c r="A10251" i="1"/>
  <c r="B10251" i="1"/>
  <c r="A10252" i="1"/>
  <c r="B10252" i="1"/>
  <c r="A10253" i="1"/>
  <c r="B10253" i="1"/>
  <c r="A10254" i="1"/>
  <c r="B10254" i="1"/>
  <c r="A10255" i="1"/>
  <c r="B10255" i="1"/>
  <c r="A10256" i="1"/>
  <c r="B10256" i="1"/>
  <c r="A10257" i="1"/>
  <c r="B10257" i="1"/>
  <c r="A10258" i="1"/>
  <c r="B10258" i="1"/>
  <c r="A10259" i="1"/>
  <c r="B10259" i="1"/>
  <c r="A10260" i="1"/>
  <c r="B10260" i="1"/>
  <c r="A10261" i="1"/>
  <c r="B10261" i="1"/>
  <c r="A10262" i="1"/>
  <c r="B10262" i="1"/>
  <c r="A10263" i="1"/>
  <c r="B10263" i="1"/>
  <c r="A10264" i="1"/>
  <c r="A10265" i="1"/>
  <c r="B10265" i="1"/>
  <c r="A10266" i="1"/>
  <c r="B10266" i="1"/>
  <c r="A10267" i="1"/>
  <c r="B10267" i="1"/>
  <c r="A10268" i="1"/>
  <c r="B10268" i="1"/>
  <c r="A10269" i="1"/>
  <c r="B10269" i="1"/>
  <c r="A10270" i="1"/>
  <c r="B10270" i="1"/>
  <c r="A10271" i="1"/>
  <c r="B10271" i="1"/>
  <c r="A10272" i="1"/>
  <c r="B10272" i="1"/>
  <c r="A10273" i="1"/>
  <c r="B10273" i="1"/>
  <c r="A10274" i="1"/>
  <c r="B10274" i="1"/>
  <c r="A10275" i="1"/>
  <c r="B10275" i="1"/>
  <c r="A10276" i="1"/>
  <c r="B10276" i="1"/>
  <c r="A10277" i="1"/>
  <c r="B10277" i="1"/>
  <c r="A10278" i="1"/>
  <c r="B10278" i="1"/>
  <c r="A10279" i="1"/>
  <c r="A10280" i="1"/>
  <c r="B10280" i="1"/>
  <c r="A10281" i="1"/>
  <c r="B10281" i="1"/>
  <c r="A10282" i="1"/>
  <c r="B10282" i="1"/>
  <c r="A10283" i="1"/>
  <c r="B10283" i="1"/>
  <c r="A10284" i="1"/>
  <c r="B10284" i="1"/>
  <c r="A10285" i="1"/>
  <c r="B10285" i="1"/>
  <c r="A10286" i="1"/>
  <c r="A10287" i="1"/>
  <c r="B10287" i="1"/>
  <c r="A10288" i="1"/>
  <c r="A10289" i="1"/>
  <c r="B10289" i="1"/>
  <c r="A10290" i="1"/>
  <c r="B10290" i="1"/>
  <c r="A10291" i="1"/>
  <c r="B10291" i="1"/>
  <c r="A10292" i="1"/>
  <c r="B10292" i="1"/>
  <c r="A10293" i="1"/>
  <c r="B10293" i="1"/>
  <c r="A10294" i="1"/>
  <c r="B10294" i="1"/>
  <c r="A10295" i="1"/>
  <c r="B10295" i="1"/>
  <c r="A10296" i="1"/>
  <c r="B10296" i="1"/>
  <c r="A10297" i="1"/>
  <c r="B10297" i="1"/>
  <c r="A10298" i="1"/>
  <c r="B10298" i="1"/>
  <c r="A10299" i="1"/>
  <c r="B10299" i="1"/>
  <c r="A10300" i="1"/>
  <c r="B10300" i="1"/>
  <c r="A10301" i="1"/>
  <c r="B10301" i="1"/>
  <c r="A10302" i="1"/>
  <c r="B10302" i="1"/>
  <c r="A10303" i="1"/>
  <c r="B10303" i="1"/>
  <c r="A10304" i="1"/>
  <c r="B10304" i="1"/>
  <c r="A10305" i="1"/>
  <c r="B10305" i="1"/>
  <c r="A10306" i="1"/>
  <c r="B10306" i="1"/>
  <c r="A10307" i="1"/>
  <c r="B10307" i="1"/>
  <c r="A10308" i="1"/>
  <c r="B10308" i="1"/>
  <c r="A10309" i="1"/>
  <c r="B10309" i="1"/>
  <c r="A10310" i="1"/>
  <c r="B10310" i="1"/>
  <c r="A10311" i="1"/>
  <c r="B10311" i="1"/>
  <c r="A10312" i="1"/>
  <c r="B10312" i="1"/>
  <c r="A10313" i="1"/>
  <c r="B10313" i="1"/>
  <c r="A10314" i="1"/>
  <c r="B10314" i="1"/>
  <c r="A10315" i="1"/>
  <c r="B10315" i="1"/>
  <c r="A10316" i="1"/>
  <c r="B10316" i="1"/>
  <c r="A10317" i="1"/>
  <c r="B10317" i="1"/>
  <c r="A10318" i="1"/>
  <c r="B10318" i="1"/>
  <c r="A10319" i="1"/>
  <c r="B10319" i="1"/>
  <c r="A10320" i="1"/>
  <c r="A10321" i="1"/>
  <c r="B10321" i="1"/>
  <c r="A10322" i="1"/>
  <c r="A10323" i="1"/>
  <c r="B10323" i="1"/>
  <c r="A10324" i="1"/>
  <c r="B10324" i="1"/>
  <c r="A10325" i="1"/>
  <c r="B10325" i="1"/>
  <c r="A10326" i="1"/>
  <c r="B10326" i="1"/>
  <c r="A10327" i="1"/>
  <c r="B10327" i="1"/>
  <c r="A10328" i="1"/>
  <c r="B10328" i="1"/>
  <c r="A10329" i="1"/>
  <c r="B10329" i="1"/>
  <c r="A10330" i="1"/>
  <c r="A10331" i="1"/>
  <c r="A10332" i="1"/>
  <c r="A10333" i="1"/>
  <c r="B10333" i="1"/>
  <c r="A10334" i="1"/>
  <c r="B10334" i="1"/>
  <c r="A10335" i="1"/>
  <c r="B10335" i="1"/>
  <c r="A10336" i="1"/>
  <c r="A10337" i="1"/>
  <c r="A10338" i="1"/>
  <c r="B10338" i="1"/>
  <c r="A10339" i="1"/>
  <c r="B10339" i="1"/>
  <c r="A10340" i="1"/>
  <c r="A10341" i="1"/>
  <c r="B10341" i="1"/>
  <c r="A10342" i="1"/>
  <c r="B10342" i="1"/>
  <c r="A10343" i="1"/>
  <c r="B10343" i="1"/>
  <c r="A10344" i="1"/>
  <c r="B10344" i="1"/>
  <c r="A10345" i="1"/>
  <c r="B10345" i="1"/>
  <c r="A10346" i="1"/>
  <c r="B10346" i="1"/>
  <c r="A10347" i="1"/>
  <c r="B10347" i="1"/>
  <c r="A10348" i="1"/>
  <c r="B10348" i="1"/>
  <c r="A10349" i="1"/>
  <c r="B10349" i="1"/>
  <c r="A10350" i="1"/>
  <c r="B10350" i="1"/>
  <c r="A10351" i="1"/>
  <c r="B10351" i="1"/>
  <c r="A10352" i="1"/>
  <c r="B10352" i="1"/>
  <c r="A10353" i="1"/>
  <c r="B10353" i="1"/>
  <c r="A10354" i="1"/>
  <c r="A10355" i="1"/>
  <c r="B10355" i="1"/>
  <c r="A10356" i="1"/>
  <c r="B10356" i="1"/>
  <c r="A10357" i="1"/>
  <c r="B10357" i="1"/>
  <c r="A10358" i="1"/>
  <c r="B10358" i="1"/>
  <c r="A10359" i="1"/>
  <c r="B10359" i="1"/>
  <c r="A10360" i="1"/>
  <c r="B10360" i="1"/>
  <c r="A10361" i="1"/>
  <c r="B10361" i="1"/>
  <c r="A10362" i="1"/>
  <c r="B10362" i="1"/>
  <c r="A10363" i="1"/>
  <c r="A10364" i="1"/>
  <c r="B10364" i="1"/>
  <c r="A10365" i="1"/>
  <c r="A10366" i="1"/>
  <c r="A10367" i="1"/>
  <c r="A10368" i="1"/>
  <c r="B10368" i="1"/>
  <c r="A10369" i="1"/>
  <c r="B10369" i="1"/>
  <c r="A10370" i="1"/>
  <c r="B10370" i="1"/>
  <c r="A10371" i="1"/>
  <c r="B10371" i="1"/>
  <c r="A10372" i="1"/>
  <c r="B10372" i="1"/>
  <c r="A10373" i="1"/>
  <c r="A10374" i="1"/>
  <c r="B10374" i="1"/>
  <c r="A10375" i="1"/>
  <c r="A10376" i="1"/>
  <c r="B10376" i="1"/>
  <c r="A10377" i="1"/>
  <c r="B10377" i="1"/>
  <c r="A10378" i="1"/>
  <c r="A10379" i="1"/>
  <c r="B10379" i="1"/>
  <c r="A10380" i="1"/>
  <c r="A10381" i="1"/>
  <c r="A10382" i="1"/>
  <c r="A10383" i="1"/>
  <c r="B10383" i="1"/>
  <c r="A10384" i="1"/>
  <c r="B10384" i="1"/>
  <c r="A10385" i="1"/>
  <c r="B10385" i="1"/>
  <c r="A10386" i="1"/>
  <c r="B10386" i="1"/>
  <c r="A10387" i="1"/>
  <c r="A10388" i="1"/>
  <c r="B10388" i="1"/>
  <c r="A10389" i="1"/>
  <c r="B10389" i="1"/>
  <c r="A10390" i="1"/>
  <c r="B10390" i="1"/>
  <c r="A10391" i="1"/>
  <c r="B10391" i="1"/>
  <c r="A10392" i="1"/>
  <c r="B10392" i="1"/>
  <c r="A10393" i="1"/>
  <c r="B10393" i="1"/>
  <c r="A10394" i="1"/>
  <c r="B10394" i="1"/>
  <c r="A10395" i="1"/>
  <c r="B10395" i="1"/>
  <c r="A10396" i="1"/>
  <c r="B10396" i="1"/>
  <c r="A10397" i="1"/>
  <c r="B10397" i="1"/>
  <c r="A10398" i="1"/>
  <c r="A10399" i="1"/>
  <c r="B10399" i="1"/>
  <c r="A10400" i="1"/>
  <c r="B10400" i="1"/>
  <c r="A10401" i="1"/>
  <c r="B10401" i="1"/>
  <c r="A10402" i="1"/>
  <c r="B10402" i="1"/>
  <c r="A10403" i="1"/>
  <c r="B10403" i="1"/>
  <c r="A10404" i="1"/>
  <c r="A10405" i="1"/>
  <c r="B10405" i="1"/>
  <c r="A10406" i="1"/>
  <c r="A10407" i="1"/>
  <c r="B10407" i="1"/>
  <c r="A10408" i="1"/>
  <c r="A10409" i="1"/>
  <c r="B10409" i="1"/>
  <c r="A10410" i="1"/>
  <c r="B10410" i="1"/>
  <c r="A10411" i="1"/>
  <c r="B10411" i="1"/>
  <c r="A10412" i="1"/>
  <c r="B10412" i="1"/>
  <c r="A10413" i="1"/>
  <c r="B10413" i="1"/>
  <c r="A10414" i="1"/>
  <c r="B10414" i="1"/>
  <c r="A10415" i="1"/>
  <c r="B10415" i="1"/>
  <c r="A10416" i="1"/>
  <c r="B10416" i="1"/>
  <c r="A10417" i="1"/>
  <c r="B10417" i="1"/>
  <c r="A10418" i="1"/>
  <c r="A10419" i="1"/>
  <c r="B10419" i="1"/>
  <c r="A10420" i="1"/>
  <c r="B10420" i="1"/>
  <c r="A10421" i="1"/>
  <c r="B10421" i="1"/>
  <c r="A10422" i="1"/>
  <c r="B10422" i="1"/>
  <c r="A10423" i="1"/>
  <c r="B10423" i="1"/>
  <c r="A10424" i="1"/>
  <c r="B10424" i="1"/>
  <c r="A10425" i="1"/>
  <c r="B10425" i="1"/>
  <c r="A10426" i="1"/>
  <c r="B10426" i="1"/>
  <c r="A10427" i="1"/>
  <c r="B10427" i="1"/>
  <c r="A10428" i="1"/>
  <c r="B10428" i="1"/>
  <c r="A10429" i="1"/>
  <c r="B10429" i="1"/>
  <c r="A10430" i="1"/>
  <c r="B10430" i="1"/>
  <c r="A10431" i="1"/>
  <c r="B10431" i="1"/>
  <c r="A10432" i="1"/>
  <c r="B10432" i="1"/>
  <c r="A10433" i="1"/>
  <c r="B10433" i="1"/>
  <c r="A10434" i="1"/>
  <c r="B10434" i="1"/>
  <c r="A10435" i="1"/>
  <c r="B10435" i="1"/>
  <c r="A10436" i="1"/>
  <c r="B10436" i="1"/>
  <c r="A10437" i="1"/>
  <c r="A10438" i="1"/>
  <c r="A10439" i="1"/>
  <c r="A10440" i="1"/>
  <c r="B10440" i="1"/>
  <c r="A10441" i="1"/>
  <c r="A10442" i="1"/>
  <c r="B10442" i="1"/>
  <c r="A10443" i="1"/>
  <c r="B10443" i="1"/>
  <c r="A10444" i="1"/>
  <c r="A10445" i="1"/>
  <c r="A10446" i="1"/>
  <c r="A10447" i="1"/>
  <c r="B10447" i="1"/>
  <c r="A10448" i="1"/>
  <c r="B10448" i="1"/>
  <c r="A10449" i="1"/>
  <c r="B10449" i="1"/>
  <c r="A10450" i="1"/>
  <c r="B10450" i="1"/>
  <c r="A10451" i="1"/>
  <c r="B10451" i="1"/>
  <c r="A10452" i="1"/>
  <c r="B10452" i="1"/>
  <c r="A10453" i="1"/>
  <c r="B10453" i="1"/>
  <c r="A10454" i="1"/>
  <c r="B10454" i="1"/>
  <c r="A10455" i="1"/>
  <c r="B10455" i="1"/>
  <c r="A10456" i="1"/>
  <c r="B10456" i="1"/>
  <c r="A10457" i="1"/>
  <c r="B10457" i="1"/>
  <c r="A10458" i="1"/>
  <c r="B10458" i="1"/>
  <c r="A10459" i="1"/>
  <c r="B10459" i="1"/>
  <c r="A10460" i="1"/>
  <c r="B10460" i="1"/>
  <c r="A10461" i="1"/>
  <c r="A10462" i="1"/>
  <c r="B10462" i="1"/>
  <c r="A10463" i="1"/>
  <c r="B10463" i="1"/>
  <c r="A10464" i="1"/>
  <c r="B10464" i="1"/>
  <c r="A10465" i="1"/>
  <c r="B10465" i="1"/>
  <c r="A10466" i="1"/>
  <c r="B10466" i="1"/>
  <c r="A10467" i="1"/>
  <c r="A10468" i="1"/>
  <c r="B10468" i="1"/>
  <c r="A10469" i="1"/>
  <c r="B10469" i="1"/>
  <c r="A10470" i="1"/>
  <c r="B10470" i="1"/>
  <c r="A10471" i="1"/>
  <c r="A10472" i="1"/>
  <c r="B10472" i="1"/>
  <c r="A10473" i="1"/>
  <c r="A10474" i="1"/>
  <c r="B10474" i="1"/>
  <c r="A10475" i="1"/>
  <c r="B10475" i="1"/>
  <c r="A10476" i="1"/>
  <c r="B10476" i="1"/>
  <c r="A10477" i="1"/>
  <c r="B10477" i="1"/>
  <c r="A10478" i="1"/>
  <c r="B10478" i="1"/>
  <c r="A10479" i="1"/>
  <c r="B10479" i="1"/>
  <c r="A10480" i="1"/>
  <c r="B10480" i="1"/>
  <c r="A10481" i="1"/>
  <c r="B10481" i="1"/>
  <c r="A10482" i="1"/>
  <c r="B10482" i="1"/>
  <c r="A10483" i="1"/>
  <c r="B10483" i="1"/>
  <c r="A10484" i="1"/>
  <c r="B10484" i="1"/>
  <c r="A10485" i="1"/>
  <c r="B10485" i="1"/>
  <c r="A10486" i="1"/>
  <c r="B10486" i="1"/>
  <c r="A10487" i="1"/>
  <c r="B10487" i="1"/>
  <c r="A10488" i="1"/>
  <c r="B10488" i="1"/>
  <c r="A10489" i="1"/>
  <c r="B10489" i="1"/>
  <c r="A10490" i="1"/>
  <c r="B10490" i="1"/>
  <c r="A10491" i="1"/>
  <c r="B10491" i="1"/>
  <c r="A10492" i="1"/>
  <c r="B10492" i="1"/>
  <c r="A10493" i="1"/>
  <c r="B10493" i="1"/>
  <c r="A10494" i="1"/>
  <c r="B10494" i="1"/>
  <c r="A10495" i="1"/>
  <c r="B10495" i="1"/>
  <c r="A10496" i="1"/>
  <c r="B10496" i="1"/>
  <c r="A10497" i="1"/>
  <c r="B10497" i="1"/>
  <c r="A10498" i="1"/>
  <c r="B10498" i="1"/>
  <c r="A10499" i="1"/>
  <c r="B10499" i="1"/>
  <c r="A10500" i="1"/>
  <c r="B10500" i="1"/>
  <c r="A10501" i="1"/>
  <c r="B10501" i="1"/>
  <c r="A10502" i="1"/>
  <c r="B10502" i="1"/>
  <c r="A10503" i="1"/>
  <c r="B10503" i="1"/>
  <c r="A10504" i="1"/>
  <c r="B10504" i="1"/>
  <c r="A10505" i="1"/>
  <c r="B10505" i="1"/>
  <c r="A10506" i="1"/>
  <c r="B10506" i="1"/>
  <c r="A10507" i="1"/>
  <c r="B10507" i="1"/>
  <c r="A10508" i="1"/>
  <c r="A10509" i="1"/>
  <c r="B10509" i="1"/>
  <c r="A10510" i="1"/>
  <c r="B10510" i="1"/>
  <c r="A10511" i="1"/>
  <c r="B10511" i="1"/>
  <c r="A10512" i="1"/>
  <c r="B10512" i="1"/>
  <c r="A10513" i="1"/>
  <c r="B10513" i="1"/>
  <c r="A10514" i="1"/>
  <c r="B10514" i="1"/>
  <c r="A10515" i="1"/>
  <c r="B10515" i="1"/>
  <c r="A10516" i="1"/>
  <c r="B10516" i="1"/>
  <c r="A10517" i="1"/>
  <c r="A10518" i="1"/>
  <c r="B10518" i="1"/>
  <c r="A10519" i="1"/>
  <c r="B10519" i="1"/>
  <c r="A10520" i="1"/>
  <c r="B10520" i="1"/>
  <c r="A10521" i="1"/>
  <c r="B10521" i="1"/>
  <c r="A10522" i="1"/>
  <c r="B10522" i="1"/>
  <c r="A10523" i="1"/>
  <c r="B10523" i="1"/>
  <c r="A10524" i="1"/>
  <c r="B10524" i="1"/>
  <c r="A10525" i="1"/>
  <c r="B10525" i="1"/>
  <c r="A10526" i="1"/>
  <c r="B10526" i="1"/>
  <c r="A10527" i="1"/>
  <c r="B10527" i="1"/>
  <c r="A10528" i="1"/>
  <c r="A10529" i="1"/>
  <c r="A10530" i="1"/>
  <c r="B10530" i="1"/>
  <c r="A10531" i="1"/>
  <c r="B10531" i="1"/>
  <c r="A10532" i="1"/>
  <c r="B10532" i="1"/>
  <c r="A10533" i="1"/>
  <c r="A10534" i="1"/>
  <c r="B10534" i="1"/>
  <c r="A10535" i="1"/>
  <c r="B10535" i="1"/>
  <c r="A10536" i="1"/>
  <c r="B10536" i="1"/>
  <c r="A10537" i="1"/>
  <c r="B10537" i="1"/>
  <c r="A10538" i="1"/>
  <c r="B10538" i="1"/>
  <c r="A10539" i="1"/>
  <c r="B10539" i="1"/>
  <c r="A10540" i="1"/>
  <c r="B10540" i="1"/>
  <c r="A10541" i="1"/>
  <c r="A10542" i="1"/>
  <c r="A10543" i="1"/>
  <c r="B10543" i="1"/>
  <c r="A10544" i="1"/>
  <c r="B10544" i="1"/>
  <c r="A10545" i="1"/>
  <c r="B10545" i="1"/>
  <c r="A10546" i="1"/>
  <c r="A10547" i="1"/>
  <c r="B10547" i="1"/>
  <c r="A10548" i="1"/>
  <c r="B10548" i="1"/>
  <c r="A10549" i="1"/>
  <c r="A10550" i="1"/>
  <c r="A10551" i="1"/>
  <c r="A10552" i="1"/>
  <c r="A10553" i="1"/>
  <c r="B10553" i="1"/>
  <c r="A10554" i="1"/>
  <c r="B10554" i="1"/>
  <c r="A10555" i="1"/>
  <c r="B10555" i="1"/>
  <c r="A10556" i="1"/>
  <c r="A10557" i="1"/>
  <c r="B10557" i="1"/>
  <c r="A10558" i="1"/>
  <c r="B10558" i="1"/>
  <c r="A10559" i="1"/>
  <c r="B10559" i="1"/>
  <c r="A10560" i="1"/>
  <c r="A10561" i="1"/>
  <c r="B10561" i="1"/>
  <c r="A10562" i="1"/>
  <c r="B10562" i="1"/>
  <c r="A10563" i="1"/>
  <c r="A10564" i="1"/>
  <c r="B10564" i="1"/>
  <c r="A10565" i="1"/>
  <c r="A10566" i="1"/>
  <c r="B10566" i="1"/>
  <c r="A10567" i="1"/>
  <c r="A10568" i="1"/>
  <c r="B10568" i="1"/>
  <c r="A10569" i="1"/>
  <c r="B10569" i="1"/>
  <c r="A10570" i="1"/>
  <c r="A10571" i="1"/>
  <c r="B10571" i="1"/>
  <c r="A10572" i="1"/>
  <c r="B10572" i="1"/>
  <c r="A10573" i="1"/>
  <c r="B10573" i="1"/>
  <c r="A10574" i="1"/>
  <c r="A10575" i="1"/>
  <c r="B10575" i="1"/>
  <c r="A10576" i="1"/>
  <c r="A10577" i="1"/>
  <c r="A10578" i="1"/>
  <c r="A10579" i="1"/>
  <c r="B10579" i="1"/>
  <c r="A10580" i="1"/>
  <c r="B10580" i="1"/>
  <c r="A10581" i="1"/>
  <c r="B10581" i="1"/>
  <c r="A10582" i="1"/>
  <c r="A10583" i="1"/>
  <c r="B10583" i="1"/>
  <c r="A10584" i="1"/>
  <c r="B10584" i="1"/>
  <c r="A10585" i="1"/>
  <c r="B10585" i="1"/>
  <c r="A10586" i="1"/>
  <c r="B10586" i="1"/>
  <c r="A10587" i="1"/>
  <c r="B10587" i="1"/>
  <c r="A10588" i="1"/>
  <c r="B10588" i="1"/>
  <c r="A10589" i="1"/>
  <c r="B10589" i="1"/>
  <c r="A10590" i="1"/>
  <c r="A10591" i="1"/>
  <c r="B10591" i="1"/>
  <c r="A10592" i="1"/>
  <c r="A10593" i="1"/>
  <c r="B10593" i="1"/>
  <c r="A10594" i="1"/>
  <c r="A10595" i="1"/>
  <c r="B10595" i="1"/>
  <c r="A10596" i="1"/>
  <c r="B10596" i="1"/>
  <c r="A10597" i="1"/>
  <c r="B10597" i="1"/>
  <c r="A10598" i="1"/>
  <c r="B10598" i="1"/>
  <c r="A10599" i="1"/>
  <c r="A10600" i="1"/>
  <c r="B10600" i="1"/>
  <c r="A10601" i="1"/>
  <c r="B10601" i="1"/>
  <c r="A10602" i="1"/>
  <c r="B10602" i="1"/>
  <c r="A10603" i="1"/>
  <c r="B10603" i="1"/>
  <c r="A10604" i="1"/>
  <c r="B10604" i="1"/>
  <c r="A10605" i="1"/>
  <c r="B10605" i="1"/>
  <c r="A10606" i="1"/>
  <c r="B10606" i="1"/>
  <c r="A10607" i="1"/>
  <c r="B10607" i="1"/>
  <c r="A10608" i="1"/>
  <c r="B10608" i="1"/>
  <c r="A10609" i="1"/>
  <c r="A10610" i="1"/>
  <c r="B10610" i="1"/>
  <c r="A10611" i="1"/>
  <c r="B10611" i="1"/>
  <c r="A10612" i="1"/>
  <c r="B10612" i="1"/>
  <c r="A10613" i="1"/>
  <c r="A10614" i="1"/>
  <c r="B10614" i="1"/>
  <c r="A10615" i="1"/>
  <c r="B10615" i="1"/>
  <c r="A10616" i="1"/>
  <c r="B10616" i="1"/>
  <c r="A10617" i="1"/>
  <c r="B10617" i="1"/>
  <c r="A10618" i="1"/>
  <c r="A10619" i="1"/>
  <c r="B10619" i="1"/>
  <c r="A10620" i="1"/>
  <c r="B10620" i="1"/>
  <c r="A10621" i="1"/>
  <c r="B10621" i="1"/>
  <c r="A10622" i="1"/>
  <c r="B10622" i="1"/>
  <c r="A10623" i="1"/>
  <c r="B10623" i="1"/>
  <c r="A10624" i="1"/>
  <c r="B10624" i="1"/>
  <c r="A10625" i="1"/>
  <c r="B10625" i="1"/>
  <c r="A10626" i="1"/>
  <c r="B10626" i="1"/>
  <c r="A10627" i="1"/>
  <c r="B10627" i="1"/>
  <c r="A10628" i="1"/>
  <c r="B10628" i="1"/>
  <c r="A10629" i="1"/>
  <c r="A10630" i="1"/>
  <c r="B10630" i="1"/>
  <c r="A10631" i="1"/>
  <c r="B10631" i="1"/>
  <c r="A10632" i="1"/>
  <c r="B10632" i="1"/>
  <c r="A10633" i="1"/>
  <c r="B10633" i="1"/>
  <c r="A10634" i="1"/>
  <c r="B10634" i="1"/>
  <c r="A10635" i="1"/>
  <c r="B10635" i="1"/>
  <c r="A10636" i="1"/>
  <c r="A10637" i="1"/>
  <c r="B10637" i="1"/>
  <c r="A10638" i="1"/>
  <c r="B10638" i="1"/>
  <c r="A10639" i="1"/>
  <c r="B10639" i="1"/>
  <c r="A10640" i="1"/>
  <c r="B10640" i="1"/>
  <c r="A10641" i="1"/>
  <c r="B10641" i="1"/>
  <c r="A10642" i="1"/>
  <c r="B10642" i="1"/>
  <c r="A10643" i="1"/>
  <c r="B10643" i="1"/>
  <c r="A10644" i="1"/>
  <c r="B10644" i="1"/>
  <c r="A10645" i="1"/>
  <c r="B10645" i="1"/>
  <c r="A10646" i="1"/>
  <c r="B10646" i="1"/>
  <c r="A10647" i="1"/>
  <c r="B10647" i="1"/>
  <c r="A10648" i="1"/>
  <c r="B10648" i="1"/>
  <c r="A10649" i="1"/>
  <c r="A10650" i="1"/>
  <c r="B10650" i="1"/>
  <c r="A10651" i="1"/>
  <c r="B10651" i="1"/>
  <c r="A10652" i="1"/>
  <c r="B10652" i="1"/>
  <c r="A10653" i="1"/>
  <c r="B10653" i="1"/>
  <c r="A10654" i="1"/>
  <c r="B10654" i="1"/>
  <c r="A10655" i="1"/>
  <c r="B10655" i="1"/>
  <c r="A10656" i="1"/>
  <c r="B10656" i="1"/>
  <c r="A10657" i="1"/>
  <c r="B10657" i="1"/>
  <c r="A10658" i="1"/>
  <c r="B10658" i="1"/>
  <c r="A10659" i="1"/>
  <c r="B10659" i="1"/>
  <c r="A10660" i="1"/>
  <c r="A10661" i="1"/>
  <c r="B10661" i="1"/>
  <c r="A10662" i="1"/>
  <c r="B10662" i="1"/>
  <c r="A10663" i="1"/>
  <c r="B10663" i="1"/>
  <c r="A10664" i="1"/>
  <c r="B10664" i="1"/>
  <c r="A10665" i="1"/>
  <c r="B10665" i="1"/>
  <c r="A10666" i="1"/>
  <c r="A10667" i="1"/>
  <c r="A10668" i="1"/>
  <c r="B10668" i="1"/>
  <c r="A10669" i="1"/>
  <c r="B10669" i="1"/>
  <c r="A10670" i="1"/>
  <c r="B10670" i="1"/>
  <c r="A10671" i="1"/>
  <c r="B10671" i="1"/>
  <c r="A10672" i="1"/>
  <c r="B10672" i="1"/>
  <c r="A10673" i="1"/>
  <c r="B10673" i="1"/>
  <c r="A10674" i="1"/>
  <c r="B10674" i="1"/>
  <c r="A10675" i="1"/>
  <c r="B10675" i="1"/>
  <c r="A10676" i="1"/>
  <c r="A10677" i="1"/>
  <c r="B10677" i="1"/>
  <c r="A10678" i="1"/>
  <c r="B10678" i="1"/>
  <c r="A10679" i="1"/>
  <c r="B10679" i="1"/>
  <c r="A10680" i="1"/>
  <c r="B10680" i="1"/>
  <c r="A10681" i="1"/>
  <c r="B10681" i="1"/>
  <c r="A10682" i="1"/>
  <c r="A10683" i="1"/>
  <c r="B10683" i="1"/>
  <c r="A10684" i="1"/>
  <c r="A10685" i="1"/>
  <c r="B10685" i="1"/>
  <c r="A10686" i="1"/>
  <c r="B10686" i="1"/>
  <c r="A10687" i="1"/>
  <c r="B10687" i="1"/>
  <c r="A10688" i="1"/>
  <c r="B10688" i="1"/>
  <c r="A10689" i="1"/>
  <c r="B10689" i="1"/>
  <c r="A10690" i="1"/>
  <c r="A10691" i="1"/>
  <c r="B10691" i="1"/>
  <c r="A10692" i="1"/>
  <c r="B10692" i="1"/>
  <c r="A10693" i="1"/>
  <c r="B10693" i="1"/>
  <c r="A10694" i="1"/>
  <c r="B10694" i="1"/>
  <c r="A10695" i="1"/>
  <c r="B10695" i="1"/>
  <c r="A10696" i="1"/>
  <c r="B10696" i="1"/>
  <c r="A10697" i="1"/>
  <c r="B10697" i="1"/>
  <c r="A10698" i="1"/>
  <c r="B10698" i="1"/>
  <c r="A10699" i="1"/>
  <c r="B10699" i="1"/>
  <c r="A10700" i="1"/>
  <c r="B10700" i="1"/>
  <c r="A10701" i="1"/>
  <c r="B10701" i="1"/>
  <c r="A10702" i="1"/>
  <c r="A10703" i="1"/>
  <c r="A10704" i="1"/>
  <c r="B10704" i="1"/>
  <c r="A10705" i="1"/>
  <c r="B10705" i="1"/>
  <c r="A10706" i="1"/>
  <c r="B10706" i="1"/>
  <c r="A10707" i="1"/>
  <c r="B10707" i="1"/>
  <c r="A10708" i="1"/>
  <c r="A10709" i="1"/>
  <c r="B10709" i="1"/>
  <c r="A10710" i="1"/>
  <c r="A10711" i="1"/>
  <c r="B10711" i="1"/>
  <c r="A10712" i="1"/>
  <c r="B10712" i="1"/>
  <c r="A10713" i="1"/>
  <c r="B10713" i="1"/>
  <c r="A10714" i="1"/>
  <c r="B10714" i="1"/>
  <c r="A10715" i="1"/>
  <c r="B10715" i="1"/>
  <c r="A10716" i="1"/>
  <c r="B10716" i="1"/>
  <c r="A10717" i="1"/>
  <c r="B10717" i="1"/>
  <c r="A10718" i="1"/>
  <c r="B10718" i="1"/>
  <c r="A10719" i="1"/>
  <c r="B10719" i="1"/>
  <c r="A10720" i="1"/>
  <c r="B10720" i="1"/>
  <c r="A10721" i="1"/>
  <c r="B10721" i="1"/>
  <c r="A10722" i="1"/>
  <c r="A10723" i="1"/>
  <c r="B10723" i="1"/>
  <c r="A10724" i="1"/>
  <c r="B10724" i="1"/>
  <c r="A10725" i="1"/>
  <c r="B10725" i="1"/>
  <c r="A10726" i="1"/>
  <c r="B10726" i="1"/>
  <c r="A10727" i="1"/>
  <c r="B10727" i="1"/>
  <c r="A10728" i="1"/>
  <c r="B10728" i="1"/>
  <c r="A10729" i="1"/>
  <c r="B10729" i="1"/>
  <c r="A10730" i="1"/>
  <c r="B10730" i="1"/>
  <c r="A10731" i="1"/>
  <c r="B10731" i="1"/>
  <c r="A10732" i="1"/>
  <c r="B10732" i="1"/>
  <c r="A10733" i="1"/>
  <c r="B10733" i="1"/>
  <c r="A10734" i="1"/>
  <c r="A10735" i="1"/>
  <c r="B10735" i="1"/>
  <c r="A10736" i="1"/>
  <c r="B10736" i="1"/>
  <c r="A10737" i="1"/>
  <c r="B10737" i="1"/>
  <c r="A10738" i="1"/>
  <c r="B10738" i="1"/>
  <c r="A10739" i="1"/>
  <c r="B10739" i="1"/>
  <c r="A10740" i="1"/>
  <c r="B10740" i="1"/>
  <c r="A10741" i="1"/>
  <c r="B10741" i="1"/>
  <c r="A10742" i="1"/>
  <c r="B10742" i="1"/>
  <c r="A10743" i="1"/>
  <c r="B10743" i="1"/>
  <c r="A10744" i="1"/>
  <c r="B10744" i="1"/>
  <c r="A10745" i="1"/>
  <c r="B10745" i="1"/>
  <c r="A10746" i="1"/>
  <c r="B10746" i="1"/>
  <c r="A10747" i="1"/>
  <c r="B10747" i="1"/>
  <c r="A10748" i="1"/>
  <c r="B10748" i="1"/>
  <c r="A10749" i="1"/>
  <c r="B10749" i="1"/>
  <c r="A10750" i="1"/>
  <c r="B10750" i="1"/>
  <c r="A10751" i="1"/>
  <c r="B10751" i="1"/>
  <c r="A10752" i="1"/>
  <c r="B10752" i="1"/>
  <c r="A10753" i="1"/>
  <c r="B10753" i="1"/>
  <c r="A10754" i="1"/>
  <c r="B10754" i="1"/>
  <c r="A10755" i="1"/>
  <c r="B10755" i="1"/>
  <c r="A10756" i="1"/>
  <c r="B10756" i="1"/>
  <c r="A10757" i="1"/>
  <c r="B10757" i="1"/>
  <c r="A10758" i="1"/>
  <c r="B10758" i="1"/>
  <c r="A10759" i="1"/>
  <c r="B10759" i="1"/>
  <c r="A10760" i="1"/>
  <c r="B10760" i="1"/>
  <c r="A10761" i="1"/>
  <c r="B10761" i="1"/>
  <c r="A10762" i="1"/>
  <c r="B10762" i="1"/>
  <c r="A10763" i="1"/>
  <c r="B10763" i="1"/>
  <c r="A10764" i="1"/>
  <c r="A10765" i="1"/>
  <c r="B10765" i="1"/>
  <c r="A10766" i="1"/>
  <c r="B10766" i="1"/>
  <c r="A10767" i="1"/>
  <c r="B10767" i="1"/>
  <c r="A10768" i="1"/>
  <c r="A10769" i="1"/>
  <c r="A10770" i="1"/>
  <c r="B10770" i="1"/>
  <c r="A10771" i="1"/>
  <c r="B10771" i="1"/>
  <c r="A10772" i="1"/>
  <c r="A10773" i="1"/>
  <c r="A10774" i="1"/>
  <c r="B10774" i="1"/>
  <c r="A10775" i="1"/>
  <c r="A10776" i="1"/>
  <c r="A10777" i="1"/>
  <c r="B10777" i="1"/>
  <c r="A10778" i="1"/>
  <c r="B10778" i="1"/>
  <c r="A10779" i="1"/>
  <c r="B10779" i="1"/>
  <c r="A10780" i="1"/>
  <c r="B10780" i="1"/>
  <c r="A10781" i="1"/>
  <c r="B10781" i="1"/>
  <c r="A10782" i="1"/>
  <c r="B10782" i="1"/>
  <c r="A10783" i="1"/>
  <c r="A10784" i="1"/>
  <c r="B10784" i="1"/>
  <c r="A10785" i="1"/>
  <c r="B10785" i="1"/>
  <c r="A10786" i="1"/>
  <c r="B10786" i="1"/>
  <c r="A10787" i="1"/>
  <c r="B10787" i="1"/>
  <c r="A10788" i="1"/>
  <c r="B10788" i="1"/>
  <c r="A10789" i="1"/>
  <c r="B10789" i="1"/>
  <c r="A10790" i="1"/>
  <c r="A10791" i="1"/>
  <c r="B10791" i="1"/>
  <c r="A10792" i="1"/>
  <c r="A10793" i="1"/>
  <c r="B10793" i="1"/>
  <c r="A10794" i="1"/>
  <c r="A10795" i="1"/>
  <c r="B10795" i="1"/>
  <c r="A10796" i="1"/>
  <c r="B10796" i="1"/>
  <c r="A10797" i="1"/>
  <c r="B10797" i="1"/>
  <c r="A10798" i="1"/>
  <c r="B10798" i="1"/>
  <c r="A10799" i="1"/>
  <c r="B10799" i="1"/>
  <c r="A10800" i="1"/>
  <c r="A10801" i="1"/>
  <c r="B10801" i="1"/>
  <c r="A10802" i="1"/>
  <c r="B10802" i="1"/>
  <c r="A10803" i="1"/>
  <c r="B10803" i="1"/>
  <c r="A10804" i="1"/>
  <c r="B10804" i="1"/>
  <c r="A10805" i="1"/>
  <c r="B10805" i="1"/>
  <c r="A10806" i="1"/>
  <c r="B10806" i="1"/>
  <c r="A10807" i="1"/>
  <c r="B10807" i="1"/>
  <c r="A10808" i="1"/>
  <c r="B10808" i="1"/>
  <c r="A10809" i="1"/>
  <c r="A10810" i="1"/>
  <c r="B10810" i="1"/>
  <c r="A10811" i="1"/>
  <c r="A10812" i="1"/>
  <c r="B10812" i="1"/>
  <c r="A10813" i="1"/>
  <c r="A10814" i="1"/>
  <c r="B10814" i="1"/>
  <c r="A10815" i="1"/>
  <c r="A10816" i="1"/>
  <c r="B10816" i="1"/>
  <c r="A10817" i="1"/>
  <c r="B10817" i="1"/>
  <c r="A10818" i="1"/>
  <c r="B10818" i="1"/>
  <c r="A10819" i="1"/>
  <c r="B10819" i="1"/>
  <c r="A10820" i="1"/>
  <c r="B10820" i="1"/>
  <c r="A10821" i="1"/>
  <c r="A10822" i="1"/>
  <c r="B10822" i="1"/>
  <c r="A10823" i="1"/>
  <c r="B10823" i="1"/>
  <c r="A10824" i="1"/>
  <c r="B10824" i="1"/>
  <c r="A10825" i="1"/>
  <c r="B10825" i="1"/>
  <c r="A10826" i="1"/>
  <c r="B10826" i="1"/>
  <c r="A10827" i="1"/>
  <c r="A10828" i="1"/>
  <c r="B10828" i="1"/>
  <c r="A10829" i="1"/>
  <c r="B10829" i="1"/>
  <c r="A10830" i="1"/>
  <c r="B10830" i="1"/>
  <c r="A10831" i="1"/>
  <c r="B10831" i="1"/>
  <c r="A10832" i="1"/>
  <c r="B10832" i="1"/>
  <c r="A10833" i="1"/>
  <c r="A10834" i="1"/>
  <c r="A10835" i="1"/>
  <c r="B10835" i="1"/>
  <c r="A10836" i="1"/>
  <c r="A10837" i="1"/>
  <c r="B10837" i="1"/>
  <c r="A10838" i="1"/>
  <c r="B10838" i="1"/>
  <c r="A10839" i="1"/>
  <c r="B10839" i="1"/>
  <c r="A10840" i="1"/>
  <c r="A10841" i="1"/>
  <c r="B10841" i="1"/>
  <c r="A10842" i="1"/>
  <c r="B10842" i="1"/>
  <c r="A10843" i="1"/>
  <c r="B10843" i="1"/>
  <c r="A10844" i="1"/>
  <c r="A10845" i="1"/>
  <c r="B10845" i="1"/>
  <c r="A10846" i="1"/>
  <c r="A10847" i="1"/>
  <c r="A10848" i="1"/>
  <c r="B10848" i="1"/>
  <c r="A10849" i="1"/>
  <c r="B10849" i="1"/>
  <c r="A10850" i="1"/>
  <c r="B10850" i="1"/>
  <c r="A10851" i="1"/>
  <c r="A10852" i="1"/>
  <c r="B10852" i="1"/>
  <c r="A10853" i="1"/>
  <c r="A10854" i="1"/>
  <c r="A10855" i="1"/>
  <c r="B10855" i="1"/>
  <c r="A10856" i="1"/>
  <c r="A10857" i="1"/>
  <c r="B10857" i="1"/>
  <c r="A10858" i="1"/>
  <c r="B10858" i="1"/>
  <c r="A10859" i="1"/>
  <c r="B10859" i="1"/>
  <c r="A10860" i="1"/>
  <c r="B10860" i="1"/>
  <c r="A10861" i="1"/>
  <c r="B10861" i="1"/>
  <c r="A10862" i="1"/>
  <c r="B10862" i="1"/>
  <c r="A10863" i="1"/>
  <c r="B10863" i="1"/>
  <c r="A10864" i="1"/>
  <c r="A10865" i="1"/>
  <c r="A10866" i="1"/>
  <c r="B10866" i="1"/>
  <c r="A10867" i="1"/>
  <c r="B10867" i="1"/>
  <c r="A10868" i="1"/>
  <c r="B10868" i="1"/>
  <c r="A10869" i="1"/>
  <c r="B10869" i="1"/>
  <c r="A10870" i="1"/>
  <c r="B10870" i="1"/>
  <c r="A10871" i="1"/>
  <c r="A10872" i="1"/>
  <c r="B10872" i="1"/>
  <c r="A10873" i="1"/>
  <c r="B10873" i="1"/>
  <c r="A10874" i="1"/>
  <c r="B10874" i="1"/>
  <c r="A10875" i="1"/>
  <c r="A10876" i="1"/>
  <c r="A10877" i="1"/>
  <c r="A10878" i="1"/>
  <c r="B10878" i="1"/>
  <c r="A10879" i="1"/>
  <c r="B10879" i="1"/>
  <c r="A10880" i="1"/>
  <c r="A10881" i="1"/>
  <c r="B10881" i="1"/>
  <c r="A10882" i="1"/>
  <c r="B10882" i="1"/>
  <c r="A10883" i="1"/>
  <c r="B10883" i="1"/>
  <c r="A10884" i="1"/>
  <c r="B10884" i="1"/>
  <c r="A10885" i="1"/>
  <c r="B10885" i="1"/>
  <c r="A10886" i="1"/>
  <c r="B10886" i="1"/>
  <c r="A10887" i="1"/>
  <c r="A10888" i="1"/>
  <c r="A10889" i="1"/>
  <c r="B10889" i="1"/>
  <c r="A10890" i="1"/>
  <c r="B10890" i="1"/>
  <c r="A10891" i="1"/>
  <c r="B10891" i="1"/>
  <c r="A10892" i="1"/>
  <c r="B10892" i="1"/>
  <c r="A10893" i="1"/>
  <c r="A10894" i="1"/>
  <c r="A10895" i="1"/>
  <c r="A10896" i="1"/>
  <c r="B10896" i="1"/>
  <c r="A10897" i="1"/>
  <c r="A10898" i="1"/>
  <c r="A10899" i="1"/>
  <c r="B10899" i="1"/>
  <c r="A10900" i="1"/>
  <c r="A10901" i="1"/>
  <c r="B10901" i="1"/>
  <c r="A10902" i="1"/>
  <c r="B10902" i="1"/>
  <c r="A10903" i="1"/>
  <c r="B10903" i="1"/>
  <c r="A10904" i="1"/>
  <c r="B10904" i="1"/>
  <c r="A10905" i="1"/>
  <c r="B10905" i="1"/>
  <c r="A10906" i="1"/>
  <c r="B10906" i="1"/>
  <c r="A10907" i="1"/>
  <c r="B10907" i="1"/>
  <c r="A10908" i="1"/>
  <c r="B10908" i="1"/>
  <c r="A10909" i="1"/>
  <c r="A10910" i="1"/>
  <c r="A10911" i="1"/>
  <c r="A10912" i="1"/>
  <c r="B10912" i="1"/>
  <c r="A10913" i="1"/>
  <c r="B10913" i="1"/>
  <c r="A10914" i="1"/>
  <c r="B10914" i="1"/>
  <c r="A10915" i="1"/>
  <c r="B10915" i="1"/>
  <c r="A10916" i="1"/>
  <c r="B10916" i="1"/>
  <c r="A10917" i="1"/>
  <c r="B10917" i="1"/>
  <c r="A10918" i="1"/>
  <c r="B10918" i="1"/>
  <c r="A10919" i="1"/>
  <c r="B10919" i="1"/>
  <c r="A10920" i="1"/>
  <c r="B10920" i="1"/>
  <c r="A10921" i="1"/>
  <c r="B10921" i="1"/>
  <c r="A10922" i="1"/>
  <c r="B10922" i="1"/>
  <c r="A10923" i="1"/>
  <c r="B10923" i="1"/>
  <c r="A10924" i="1"/>
  <c r="B10924" i="1"/>
  <c r="A10925" i="1"/>
  <c r="B10925" i="1"/>
  <c r="A10926" i="1"/>
  <c r="B10926" i="1"/>
  <c r="A10927" i="1"/>
  <c r="B10927" i="1"/>
  <c r="A10928" i="1"/>
  <c r="B10928" i="1"/>
  <c r="A10929" i="1"/>
  <c r="B10929" i="1"/>
  <c r="A10930" i="1"/>
  <c r="B10930" i="1"/>
  <c r="A10931" i="1"/>
  <c r="A10932" i="1"/>
  <c r="B10932" i="1"/>
  <c r="A10933" i="1"/>
  <c r="A10934" i="1"/>
  <c r="A10935" i="1"/>
  <c r="B10935" i="1"/>
  <c r="A10936" i="1"/>
  <c r="B10936" i="1"/>
  <c r="A10937" i="1"/>
  <c r="B10937" i="1"/>
  <c r="A10938" i="1"/>
  <c r="A10939" i="1"/>
  <c r="B10939" i="1"/>
  <c r="A10940" i="1"/>
  <c r="B10940" i="1"/>
  <c r="A10941" i="1"/>
  <c r="B10941" i="1"/>
  <c r="A10942" i="1"/>
  <c r="B10942" i="1"/>
  <c r="A10943" i="1"/>
  <c r="B10943" i="1"/>
  <c r="A10944" i="1"/>
  <c r="B10944" i="1"/>
  <c r="A10945" i="1"/>
  <c r="B10945" i="1"/>
  <c r="A10946" i="1"/>
  <c r="B10946" i="1"/>
  <c r="A10947" i="1"/>
  <c r="B10947" i="1"/>
  <c r="A10948" i="1"/>
  <c r="B10948" i="1"/>
  <c r="A10949" i="1"/>
  <c r="B10949" i="1"/>
  <c r="A10950" i="1"/>
  <c r="A10951" i="1"/>
  <c r="B10951" i="1"/>
  <c r="A10952" i="1"/>
  <c r="B10952" i="1"/>
  <c r="A10953" i="1"/>
  <c r="B10953" i="1"/>
  <c r="A10954" i="1"/>
  <c r="B10954" i="1"/>
  <c r="A10955" i="1"/>
  <c r="B10955" i="1"/>
  <c r="A10956" i="1"/>
  <c r="B10956" i="1"/>
  <c r="A10957" i="1"/>
  <c r="B10957" i="1"/>
  <c r="A10958" i="1"/>
  <c r="A10959" i="1"/>
  <c r="B10959" i="1"/>
  <c r="A10960" i="1"/>
  <c r="A10961" i="1"/>
  <c r="B10961" i="1"/>
  <c r="A10962" i="1"/>
  <c r="B10962" i="1"/>
  <c r="A10963" i="1"/>
  <c r="A10964" i="1"/>
  <c r="B10964" i="1"/>
  <c r="A10965" i="1"/>
  <c r="B10965" i="1"/>
  <c r="A10966" i="1"/>
  <c r="B10966" i="1"/>
  <c r="A10967" i="1"/>
  <c r="B10967" i="1"/>
  <c r="A10968" i="1"/>
  <c r="A10969" i="1"/>
  <c r="A10970" i="1"/>
  <c r="B10970" i="1"/>
  <c r="A10971" i="1"/>
  <c r="A10972" i="1"/>
  <c r="B10972" i="1"/>
  <c r="A10973" i="1"/>
  <c r="B10973" i="1"/>
  <c r="A10974" i="1"/>
  <c r="B10974" i="1"/>
  <c r="A10975" i="1"/>
  <c r="B10975" i="1"/>
  <c r="A10976" i="1"/>
  <c r="A10977" i="1"/>
  <c r="B10977" i="1"/>
  <c r="A10978" i="1"/>
  <c r="B10978" i="1"/>
  <c r="A10979" i="1"/>
  <c r="B10979" i="1"/>
  <c r="A10980" i="1"/>
  <c r="B10980" i="1"/>
  <c r="A10981" i="1"/>
  <c r="B10981" i="1"/>
  <c r="A10982" i="1"/>
  <c r="B10982" i="1"/>
  <c r="A10983" i="1"/>
  <c r="B10983" i="1"/>
  <c r="A10984" i="1"/>
  <c r="B10984" i="1"/>
  <c r="A10985" i="1"/>
  <c r="A10986" i="1"/>
  <c r="A10987" i="1"/>
  <c r="B10987" i="1"/>
  <c r="A10988" i="1"/>
  <c r="B10988" i="1"/>
  <c r="A10989" i="1"/>
  <c r="B10989" i="1"/>
  <c r="A10990" i="1"/>
  <c r="B10990" i="1"/>
  <c r="A10991" i="1"/>
  <c r="A10992" i="1"/>
  <c r="B10992" i="1"/>
  <c r="A10993" i="1"/>
  <c r="B10993" i="1"/>
  <c r="A10994" i="1"/>
  <c r="B10994" i="1"/>
  <c r="A10995" i="1"/>
  <c r="B10995" i="1"/>
  <c r="A10996" i="1"/>
  <c r="B10996" i="1"/>
  <c r="A10997" i="1"/>
  <c r="B10997" i="1"/>
  <c r="A10998" i="1"/>
  <c r="B10998" i="1"/>
  <c r="A10999" i="1"/>
  <c r="B10999" i="1"/>
  <c r="A11000" i="1"/>
  <c r="B11000" i="1"/>
  <c r="A11001" i="1"/>
  <c r="B11001" i="1"/>
  <c r="A11002" i="1"/>
  <c r="B11002" i="1"/>
  <c r="A11003" i="1"/>
  <c r="B11003" i="1"/>
  <c r="A11004" i="1"/>
  <c r="A11005" i="1"/>
  <c r="A11006" i="1"/>
  <c r="A11007" i="1"/>
  <c r="A11008" i="1"/>
  <c r="A11009" i="1"/>
  <c r="A11010" i="1"/>
  <c r="A11011" i="1"/>
  <c r="A11012" i="1"/>
  <c r="A11013" i="1"/>
  <c r="B11013" i="1"/>
  <c r="A11014" i="1"/>
  <c r="A11015" i="1"/>
  <c r="A11016" i="1"/>
  <c r="A11017" i="1"/>
  <c r="A11018" i="1"/>
  <c r="A11019" i="1"/>
  <c r="B11019" i="1"/>
  <c r="A11020" i="1"/>
  <c r="B11020" i="1"/>
  <c r="A11021" i="1"/>
  <c r="B11021" i="1"/>
  <c r="A11022" i="1"/>
  <c r="A11023" i="1"/>
  <c r="A11024" i="1"/>
  <c r="B11024" i="1"/>
  <c r="A11025" i="1"/>
  <c r="B11025" i="1"/>
  <c r="A11026" i="1"/>
  <c r="B11026" i="1"/>
  <c r="A11027" i="1"/>
  <c r="B11027" i="1"/>
  <c r="A11028" i="1"/>
  <c r="B11028" i="1"/>
  <c r="A11029" i="1"/>
  <c r="B11029" i="1"/>
  <c r="A11030" i="1"/>
  <c r="B11030" i="1"/>
  <c r="A11031" i="1"/>
  <c r="B11031" i="1"/>
  <c r="A11032" i="1"/>
  <c r="B11032" i="1"/>
  <c r="A11033" i="1"/>
  <c r="B11033" i="1"/>
  <c r="A11034" i="1"/>
  <c r="B11034" i="1"/>
  <c r="A11035" i="1"/>
  <c r="B11035" i="1"/>
  <c r="A11036" i="1"/>
  <c r="B11036" i="1"/>
  <c r="A11037" i="1"/>
  <c r="B11037" i="1"/>
  <c r="A11038" i="1"/>
  <c r="B11038" i="1"/>
  <c r="A11039" i="1"/>
  <c r="B11039" i="1"/>
  <c r="A11040" i="1"/>
  <c r="B11040" i="1"/>
  <c r="A11041" i="1"/>
  <c r="B11041" i="1"/>
  <c r="A11042" i="1"/>
  <c r="B11042" i="1"/>
  <c r="A11043" i="1"/>
  <c r="B11043" i="1"/>
  <c r="A11044" i="1"/>
  <c r="B11044" i="1"/>
  <c r="A11045" i="1"/>
  <c r="A11046" i="1"/>
  <c r="B11046" i="1"/>
  <c r="A11047" i="1"/>
  <c r="B11047" i="1"/>
  <c r="A11048" i="1"/>
  <c r="B11048" i="1"/>
  <c r="A11049" i="1"/>
  <c r="A11050" i="1"/>
  <c r="B11050" i="1"/>
  <c r="A11051" i="1"/>
  <c r="B11051" i="1"/>
  <c r="A11052" i="1"/>
  <c r="B11052" i="1"/>
  <c r="A11053" i="1"/>
  <c r="A11054" i="1"/>
  <c r="B11054" i="1"/>
  <c r="A11055" i="1"/>
  <c r="A11056" i="1"/>
  <c r="A11057" i="1"/>
  <c r="B11057" i="1"/>
  <c r="A11058" i="1"/>
  <c r="B11058" i="1"/>
  <c r="A11059" i="1"/>
  <c r="B11059" i="1"/>
  <c r="A11060" i="1"/>
  <c r="B11060" i="1"/>
  <c r="A11061" i="1"/>
  <c r="B11061" i="1"/>
  <c r="A11062" i="1"/>
  <c r="B11062" i="1"/>
  <c r="A11063" i="1"/>
  <c r="B11063" i="1"/>
  <c r="A11064" i="1"/>
  <c r="B11064" i="1"/>
  <c r="A11065" i="1"/>
  <c r="B11065" i="1"/>
  <c r="A11066" i="1"/>
  <c r="B11066" i="1"/>
  <c r="A11067" i="1"/>
  <c r="B11067" i="1"/>
  <c r="A11068" i="1"/>
  <c r="B11068" i="1"/>
  <c r="A11069" i="1"/>
  <c r="B11069" i="1"/>
  <c r="A11070" i="1"/>
  <c r="B11070" i="1"/>
  <c r="A11071" i="1"/>
  <c r="B11071" i="1"/>
  <c r="A11072" i="1"/>
  <c r="B11072" i="1"/>
  <c r="A11073" i="1"/>
  <c r="B11073" i="1"/>
  <c r="A11074" i="1"/>
  <c r="B11074" i="1"/>
  <c r="A11075" i="1"/>
  <c r="B11075" i="1"/>
  <c r="A11076" i="1"/>
  <c r="B11076" i="1"/>
  <c r="A11077" i="1"/>
  <c r="B11077" i="1"/>
  <c r="A11078" i="1"/>
  <c r="B11078" i="1"/>
  <c r="A11079" i="1"/>
  <c r="B11079" i="1"/>
  <c r="A11080" i="1"/>
  <c r="B11080" i="1"/>
  <c r="A11081" i="1"/>
  <c r="B11081" i="1"/>
  <c r="A11082" i="1"/>
  <c r="A11083" i="1"/>
  <c r="B11083" i="1"/>
  <c r="A11084" i="1"/>
  <c r="B11084" i="1"/>
  <c r="A11085" i="1"/>
  <c r="B11085" i="1"/>
  <c r="A11086" i="1"/>
  <c r="B11086" i="1"/>
  <c r="A11087" i="1"/>
  <c r="B11087" i="1"/>
  <c r="A11088" i="1"/>
  <c r="B11088" i="1"/>
  <c r="A11089" i="1"/>
  <c r="B11089" i="1"/>
  <c r="A11090" i="1"/>
  <c r="A11091" i="1"/>
  <c r="B11091" i="1"/>
  <c r="A11092" i="1"/>
  <c r="B11092" i="1"/>
  <c r="A11093" i="1"/>
  <c r="B11093" i="1"/>
  <c r="A11094" i="1"/>
  <c r="B11094" i="1"/>
  <c r="A11095" i="1"/>
  <c r="B11095" i="1"/>
  <c r="A11096" i="1"/>
  <c r="B11096" i="1"/>
  <c r="A11097" i="1"/>
  <c r="B11097" i="1"/>
  <c r="A11098" i="1"/>
  <c r="B11098" i="1"/>
  <c r="A11099" i="1"/>
  <c r="B11099" i="1"/>
  <c r="A11100" i="1"/>
  <c r="B11100" i="1"/>
  <c r="A11101" i="1"/>
  <c r="B11101" i="1"/>
  <c r="A11102" i="1"/>
  <c r="B11102" i="1"/>
  <c r="A11103" i="1"/>
  <c r="A11104" i="1"/>
  <c r="B11104" i="1"/>
  <c r="A11105" i="1"/>
  <c r="B11105" i="1"/>
  <c r="A11106" i="1"/>
  <c r="B11106" i="1"/>
  <c r="A11107" i="1"/>
  <c r="B11107" i="1"/>
  <c r="A11108" i="1"/>
  <c r="B11108" i="1"/>
  <c r="A11109" i="1"/>
  <c r="B11109" i="1"/>
  <c r="A11110" i="1"/>
  <c r="A11111" i="1"/>
  <c r="A11112" i="1"/>
  <c r="B11112" i="1"/>
  <c r="A11113" i="1"/>
  <c r="B11113" i="1"/>
  <c r="A11114" i="1"/>
  <c r="B11114" i="1"/>
  <c r="A11115" i="1"/>
  <c r="B11115" i="1"/>
  <c r="A11116" i="1"/>
  <c r="B11116" i="1"/>
  <c r="A11117" i="1"/>
  <c r="B11117" i="1"/>
  <c r="A11118" i="1"/>
  <c r="B11118" i="1"/>
  <c r="A11119" i="1"/>
  <c r="B11119" i="1"/>
  <c r="A11120" i="1"/>
  <c r="B11120" i="1"/>
  <c r="A11121" i="1"/>
  <c r="B11121" i="1"/>
  <c r="A11122" i="1"/>
  <c r="B11122" i="1"/>
  <c r="A11123" i="1"/>
  <c r="B11123" i="1"/>
  <c r="A11124" i="1"/>
  <c r="B11124" i="1"/>
  <c r="A11125" i="1"/>
  <c r="B11125" i="1"/>
  <c r="A11126" i="1"/>
  <c r="B11126" i="1"/>
  <c r="A11127" i="1"/>
  <c r="A11128" i="1"/>
  <c r="A11129" i="1"/>
  <c r="B11129" i="1"/>
  <c r="A11130" i="1"/>
  <c r="B11130" i="1"/>
  <c r="A11131" i="1"/>
  <c r="B11131" i="1"/>
  <c r="A11132" i="1"/>
  <c r="B11132" i="1"/>
  <c r="A11133" i="1"/>
  <c r="A11134" i="1"/>
  <c r="B11134" i="1"/>
  <c r="A11135" i="1"/>
  <c r="B11135" i="1"/>
  <c r="A11136" i="1"/>
  <c r="B11136" i="1"/>
  <c r="A11137" i="1"/>
  <c r="B11137" i="1"/>
  <c r="A11138" i="1"/>
  <c r="A11139" i="1"/>
  <c r="B11139" i="1"/>
  <c r="A11140" i="1"/>
  <c r="B11140" i="1"/>
  <c r="A11141" i="1"/>
  <c r="A11142" i="1"/>
  <c r="B11142" i="1"/>
  <c r="A11143" i="1"/>
  <c r="B11143" i="1"/>
  <c r="A11144" i="1"/>
  <c r="B11144" i="1"/>
  <c r="A11145" i="1"/>
  <c r="B11145" i="1"/>
  <c r="A11146" i="1"/>
  <c r="B11146" i="1"/>
  <c r="A11147" i="1"/>
  <c r="B11147" i="1"/>
  <c r="A11148" i="1"/>
  <c r="B11148" i="1"/>
  <c r="A11149" i="1"/>
  <c r="A11150" i="1"/>
  <c r="A11151" i="1"/>
  <c r="B11151" i="1"/>
  <c r="A11152" i="1"/>
  <c r="B11152" i="1"/>
  <c r="A11153" i="1"/>
  <c r="B11153" i="1"/>
  <c r="A11154" i="1"/>
  <c r="A11155" i="1"/>
  <c r="B11155" i="1"/>
  <c r="A11156" i="1"/>
  <c r="B11156" i="1"/>
  <c r="A11157" i="1"/>
  <c r="B11157" i="1"/>
  <c r="A11158" i="1"/>
  <c r="B11158" i="1"/>
  <c r="A11159" i="1"/>
  <c r="A11160" i="1"/>
  <c r="B11160" i="1"/>
  <c r="A11161" i="1"/>
  <c r="B11161" i="1"/>
  <c r="A11162" i="1"/>
  <c r="B11162" i="1"/>
  <c r="A11163" i="1"/>
  <c r="B11163" i="1"/>
  <c r="A11164" i="1"/>
  <c r="B11164" i="1"/>
  <c r="A11165" i="1"/>
  <c r="B11165" i="1"/>
  <c r="A11166" i="1"/>
  <c r="B11166" i="1"/>
  <c r="A11167" i="1"/>
  <c r="B11167" i="1"/>
  <c r="A11168" i="1"/>
  <c r="B11168" i="1"/>
  <c r="A11169" i="1"/>
  <c r="B11169" i="1"/>
  <c r="A11170" i="1"/>
  <c r="A11171" i="1"/>
  <c r="B11171" i="1"/>
  <c r="A11172" i="1"/>
  <c r="B11172" i="1"/>
  <c r="A11173" i="1"/>
  <c r="B11173" i="1"/>
  <c r="A11174" i="1"/>
  <c r="B11174" i="1"/>
  <c r="A11175" i="1"/>
  <c r="B11175" i="1"/>
  <c r="A11176" i="1"/>
  <c r="B11176" i="1"/>
  <c r="A11177" i="1"/>
  <c r="B11177" i="1"/>
  <c r="A11178" i="1"/>
  <c r="A11179" i="1"/>
  <c r="B11179" i="1"/>
  <c r="A11180" i="1"/>
  <c r="A11181" i="1"/>
  <c r="A11182" i="1"/>
  <c r="B11182" i="1"/>
  <c r="A11183" i="1"/>
  <c r="A11184" i="1"/>
  <c r="B11184" i="1"/>
  <c r="A11185" i="1"/>
  <c r="B11185" i="1"/>
  <c r="A11186" i="1"/>
  <c r="B11186" i="1"/>
  <c r="A11187" i="1"/>
  <c r="B11187" i="1"/>
  <c r="A11188" i="1"/>
  <c r="B11188" i="1"/>
  <c r="A11189" i="1"/>
  <c r="A11190" i="1"/>
  <c r="B11190" i="1"/>
  <c r="A11191" i="1"/>
  <c r="A11192" i="1"/>
  <c r="A11193" i="1"/>
  <c r="B11193" i="1"/>
  <c r="A11194" i="1"/>
  <c r="B11194" i="1"/>
  <c r="A11195" i="1"/>
  <c r="B11195" i="1"/>
  <c r="A11196" i="1"/>
  <c r="A11197" i="1"/>
  <c r="A11198" i="1"/>
  <c r="A11199" i="1"/>
  <c r="A11200" i="1"/>
  <c r="B11200" i="1"/>
  <c r="A11201" i="1"/>
  <c r="B11201" i="1"/>
  <c r="A11202" i="1"/>
  <c r="A11203" i="1"/>
  <c r="B11203" i="1"/>
  <c r="A11204" i="1"/>
  <c r="A11205" i="1"/>
  <c r="B11205" i="1"/>
  <c r="A11206" i="1"/>
  <c r="A11207" i="1"/>
  <c r="B11207" i="1"/>
  <c r="A11208" i="1"/>
  <c r="B11208" i="1"/>
  <c r="A11209" i="1"/>
  <c r="B11209" i="1"/>
  <c r="A11210" i="1"/>
  <c r="B11210" i="1"/>
  <c r="A11211" i="1"/>
  <c r="B11211" i="1"/>
  <c r="A11212" i="1"/>
  <c r="B11212" i="1"/>
  <c r="A11213" i="1"/>
  <c r="B11213" i="1"/>
  <c r="A11214" i="1"/>
  <c r="B11214" i="1"/>
  <c r="A11215" i="1"/>
  <c r="A11216" i="1"/>
  <c r="B11216" i="1"/>
  <c r="A11217" i="1"/>
  <c r="A11218" i="1"/>
  <c r="B11218" i="1"/>
  <c r="A11219" i="1"/>
  <c r="B11219" i="1"/>
  <c r="A11220" i="1"/>
  <c r="A11221" i="1"/>
  <c r="A11222" i="1"/>
  <c r="A11223" i="1"/>
  <c r="B11223" i="1"/>
  <c r="A11224" i="1"/>
  <c r="B11224" i="1"/>
  <c r="A11225" i="1"/>
  <c r="B11225" i="1"/>
  <c r="A11226" i="1"/>
  <c r="A11227" i="1"/>
  <c r="B11227" i="1"/>
  <c r="A11228" i="1"/>
  <c r="B11228" i="1"/>
  <c r="A11229" i="1"/>
  <c r="B11229" i="1"/>
  <c r="A11230" i="1"/>
  <c r="B11230" i="1"/>
  <c r="A11231" i="1"/>
  <c r="B11231" i="1"/>
  <c r="A11232" i="1"/>
  <c r="B11232" i="1"/>
  <c r="A11233" i="1"/>
  <c r="B11233" i="1"/>
  <c r="A11234" i="1"/>
  <c r="B11234" i="1"/>
  <c r="A11235" i="1"/>
  <c r="A11236" i="1"/>
  <c r="A11237" i="1"/>
  <c r="B11237" i="1"/>
  <c r="A11238" i="1"/>
  <c r="B11238" i="1"/>
  <c r="A11239" i="1"/>
  <c r="B11239" i="1"/>
  <c r="A11240" i="1"/>
  <c r="B11240" i="1"/>
  <c r="A11241" i="1"/>
  <c r="A11242" i="1"/>
  <c r="A11243" i="1"/>
  <c r="B11243" i="1"/>
  <c r="A11244" i="1"/>
  <c r="B11244" i="1"/>
  <c r="A11245" i="1"/>
  <c r="B11245" i="1"/>
  <c r="A11246" i="1"/>
  <c r="A11247" i="1"/>
  <c r="B11247" i="1"/>
  <c r="A11248" i="1"/>
  <c r="B11248" i="1"/>
  <c r="A11249" i="1"/>
  <c r="B11249" i="1"/>
  <c r="A11250" i="1"/>
  <c r="B11250" i="1"/>
  <c r="A11251" i="1"/>
  <c r="B11251" i="1"/>
  <c r="A11252" i="1"/>
  <c r="B11252" i="1"/>
  <c r="A11253" i="1"/>
  <c r="B11253" i="1"/>
  <c r="A11254" i="1"/>
  <c r="A11255" i="1"/>
  <c r="B11255" i="1"/>
  <c r="A11256" i="1"/>
  <c r="B11256" i="1"/>
  <c r="A11257" i="1"/>
  <c r="A11258" i="1"/>
  <c r="B11258" i="1"/>
  <c r="A11259" i="1"/>
  <c r="B11259" i="1"/>
  <c r="A11260" i="1"/>
  <c r="B11260" i="1"/>
  <c r="A11261" i="1"/>
  <c r="B11261" i="1"/>
  <c r="A11262" i="1"/>
  <c r="B11262" i="1"/>
  <c r="A11263" i="1"/>
  <c r="A11264" i="1"/>
  <c r="B11264" i="1"/>
  <c r="A11265" i="1"/>
  <c r="B11265" i="1"/>
  <c r="A11266" i="1"/>
  <c r="B11266" i="1"/>
  <c r="A11267" i="1"/>
  <c r="B11267" i="1"/>
  <c r="A11268" i="1"/>
  <c r="B11268" i="1"/>
  <c r="A11269" i="1"/>
  <c r="B11269" i="1"/>
  <c r="A11270" i="1"/>
  <c r="B11270" i="1"/>
  <c r="A11271" i="1"/>
  <c r="B11271" i="1"/>
  <c r="A11272" i="1"/>
  <c r="B11272" i="1"/>
  <c r="A11273" i="1"/>
  <c r="B11273" i="1"/>
  <c r="A11274" i="1"/>
  <c r="B11274" i="1"/>
  <c r="A11275" i="1"/>
  <c r="B11275" i="1"/>
  <c r="A11276" i="1"/>
  <c r="B11276" i="1"/>
  <c r="A11277" i="1"/>
  <c r="B11277" i="1"/>
  <c r="A11278" i="1"/>
  <c r="A11279" i="1"/>
  <c r="B11279" i="1"/>
  <c r="A11280" i="1"/>
  <c r="B11280" i="1"/>
  <c r="A11281" i="1"/>
  <c r="B11281" i="1"/>
  <c r="A11282" i="1"/>
  <c r="B11282" i="1"/>
  <c r="A11283" i="1"/>
  <c r="B11283" i="1"/>
  <c r="A11284" i="1"/>
  <c r="B11284" i="1"/>
  <c r="A11285" i="1"/>
  <c r="B11285" i="1"/>
  <c r="A11286" i="1"/>
  <c r="A11287" i="1"/>
  <c r="B11287" i="1"/>
  <c r="A11288" i="1"/>
  <c r="A11289" i="1"/>
  <c r="A11290" i="1"/>
  <c r="B11290" i="1"/>
  <c r="A11291" i="1"/>
  <c r="A11292" i="1"/>
  <c r="B11292" i="1"/>
  <c r="A11293" i="1"/>
  <c r="B11293" i="1"/>
  <c r="A11294" i="1"/>
  <c r="B11294" i="1"/>
  <c r="A11295" i="1"/>
  <c r="B11295" i="1"/>
  <c r="A11296" i="1"/>
  <c r="B11296" i="1"/>
  <c r="A11297" i="1"/>
  <c r="B11297" i="1"/>
  <c r="A11298" i="1"/>
  <c r="A11299" i="1"/>
  <c r="B11299" i="1"/>
  <c r="A11300" i="1"/>
  <c r="B11300" i="1"/>
  <c r="A11301" i="1"/>
  <c r="B11301" i="1"/>
  <c r="A11302" i="1"/>
  <c r="B11302" i="1"/>
  <c r="A11303" i="1"/>
  <c r="B11303" i="1"/>
  <c r="A11304" i="1"/>
  <c r="A11305" i="1"/>
  <c r="A11306" i="1"/>
  <c r="A11307" i="1"/>
  <c r="A11308" i="1"/>
  <c r="B11308" i="1"/>
  <c r="A11309" i="1"/>
  <c r="A11310" i="1"/>
  <c r="A11311" i="1"/>
  <c r="B11311" i="1"/>
  <c r="A11312" i="1"/>
  <c r="A11313" i="1"/>
  <c r="B11313" i="1"/>
  <c r="A11314" i="1"/>
  <c r="B11314" i="1"/>
  <c r="A11315" i="1"/>
  <c r="B11315" i="1"/>
  <c r="A11316" i="1"/>
  <c r="B11316" i="1"/>
  <c r="A11317" i="1"/>
  <c r="B11317" i="1"/>
  <c r="A11318" i="1"/>
  <c r="B11318" i="1"/>
  <c r="A11319" i="1"/>
  <c r="B11319" i="1"/>
  <c r="A11320" i="1"/>
  <c r="B11320" i="1"/>
  <c r="A11321" i="1"/>
  <c r="B11321" i="1"/>
  <c r="A11322" i="1"/>
  <c r="B11322" i="1"/>
  <c r="A11323" i="1"/>
  <c r="B11323" i="1"/>
  <c r="A11324" i="1"/>
  <c r="A11325" i="1"/>
  <c r="B11325" i="1"/>
  <c r="A11326" i="1"/>
  <c r="B11326" i="1"/>
  <c r="A11327" i="1"/>
  <c r="B11327" i="1"/>
  <c r="A11328" i="1"/>
  <c r="B11328" i="1"/>
  <c r="A11329" i="1"/>
  <c r="B11329" i="1"/>
  <c r="A11330" i="1"/>
  <c r="A11331" i="1"/>
  <c r="B11331" i="1"/>
  <c r="A11332" i="1"/>
  <c r="B11332" i="1"/>
  <c r="A11333" i="1"/>
  <c r="B11333" i="1"/>
  <c r="A11334" i="1"/>
  <c r="A11335" i="1"/>
  <c r="B11335" i="1"/>
  <c r="A11336" i="1"/>
  <c r="B11336" i="1"/>
  <c r="A11337" i="1"/>
  <c r="A11338" i="1"/>
  <c r="A11339" i="1"/>
  <c r="B11339" i="1"/>
  <c r="A11340" i="1"/>
  <c r="B11340" i="1"/>
  <c r="A11341" i="1"/>
  <c r="A11342" i="1"/>
  <c r="B11342" i="1"/>
  <c r="A11343" i="1"/>
  <c r="A11344" i="1"/>
  <c r="B11344" i="1"/>
  <c r="A11345" i="1"/>
  <c r="B11345" i="1"/>
  <c r="A11346" i="1"/>
  <c r="B11346" i="1"/>
  <c r="A11347" i="1"/>
  <c r="B11347" i="1"/>
  <c r="A11348" i="1"/>
  <c r="B11348" i="1"/>
  <c r="A11349" i="1"/>
  <c r="B11349" i="1"/>
  <c r="A11350" i="1"/>
  <c r="A11351" i="1"/>
  <c r="B11351" i="1"/>
  <c r="A11352" i="1"/>
  <c r="B11352" i="1"/>
  <c r="A11353" i="1"/>
  <c r="B11353" i="1"/>
  <c r="A11354" i="1"/>
  <c r="B11354" i="1"/>
  <c r="A11355" i="1"/>
  <c r="B11355" i="1"/>
  <c r="A11356" i="1"/>
  <c r="B11356" i="1"/>
  <c r="A11357" i="1"/>
  <c r="A11358" i="1"/>
  <c r="B11358" i="1"/>
  <c r="A11359" i="1"/>
  <c r="B11359" i="1"/>
  <c r="A11360" i="1"/>
  <c r="B11360" i="1"/>
  <c r="A11361" i="1"/>
  <c r="B11361" i="1"/>
  <c r="A11362" i="1"/>
  <c r="B11362" i="1"/>
  <c r="A11363" i="1"/>
  <c r="B11363" i="1"/>
  <c r="A11364" i="1"/>
  <c r="A11365" i="1"/>
  <c r="B11365" i="1"/>
  <c r="A11366" i="1"/>
  <c r="A11367" i="1"/>
  <c r="A11368" i="1"/>
  <c r="B11368" i="1"/>
  <c r="A11369" i="1"/>
  <c r="B11369" i="1"/>
  <c r="A11370" i="1"/>
  <c r="B11370" i="1"/>
  <c r="A11371" i="1"/>
  <c r="A11372" i="1"/>
  <c r="A11373" i="1"/>
  <c r="A11374" i="1"/>
  <c r="A11375" i="1"/>
  <c r="B11375" i="1"/>
  <c r="A11376" i="1"/>
  <c r="B11376" i="1"/>
  <c r="A11377" i="1"/>
  <c r="A11378" i="1"/>
  <c r="B11378" i="1"/>
  <c r="A11379" i="1"/>
  <c r="B11379" i="1"/>
  <c r="A11380" i="1"/>
  <c r="A11381" i="1"/>
  <c r="B11381" i="1"/>
  <c r="A11382" i="1"/>
  <c r="B11382" i="1"/>
  <c r="A11383" i="1"/>
  <c r="B11383" i="1"/>
  <c r="A11384" i="1"/>
  <c r="B11384" i="1"/>
  <c r="A11385" i="1"/>
  <c r="B11385" i="1"/>
  <c r="A11386" i="1"/>
  <c r="B11386" i="1"/>
  <c r="A11387" i="1"/>
  <c r="B11387" i="1"/>
  <c r="A11388" i="1"/>
  <c r="B11388" i="1"/>
  <c r="A11389" i="1"/>
  <c r="B11389" i="1"/>
  <c r="A11390" i="1"/>
  <c r="B11390" i="1"/>
  <c r="A11391" i="1"/>
  <c r="B11391" i="1"/>
  <c r="A11392" i="1"/>
  <c r="B11392" i="1"/>
  <c r="A11393" i="1"/>
  <c r="B11393" i="1"/>
</calcChain>
</file>

<file path=xl/sharedStrings.xml><?xml version="1.0" encoding="utf-8"?>
<sst xmlns="http://schemas.openxmlformats.org/spreadsheetml/2006/main" count="2752" uniqueCount="546">
  <si>
    <t>Produced:</t>
  </si>
  <si>
    <t>Mois(C):</t>
  </si>
  <si>
    <t>Annee(C):</t>
  </si>
  <si>
    <t>BUREAU(C):</t>
  </si>
  <si>
    <t>SYSCOM(C):</t>
  </si>
  <si>
    <t>FLUX(C):</t>
  </si>
  <si>
    <t>PROVDEST(C):</t>
  </si>
  <si>
    <t>PARTENAIRE(B):</t>
  </si>
  <si>
    <t>Y Axis (1)</t>
  </si>
  <si>
    <t>PRODUIT(B):</t>
  </si>
  <si>
    <t>Y Axis (2)</t>
  </si>
  <si>
    <t>INDICATORS(B):</t>
  </si>
  <si>
    <t>X Axis (1)</t>
  </si>
  <si>
    <t>=t("   Viandes et abats comestibles de pigeons, de phoques, de gibier, de rennes et d'autres espèces animales, frais, réfrigérés ou congelés (à l'excl. des viandes et abats d'animaux des espèces bovine, porcine, ovine, caprine, chevaline, asine ou mulassi</t>
  </si>
  <si>
    <t>=t("   VIANDES ET ABATS COMESTIBLES, SALÉS OU EN SAUMURE, SÉCHÉS OU FUMÉS, ET FARINES ET POUDRES COMESTIBLES DE VIANDES ET D'ABATS (À L'EXCL. DES VIANDES DES ESPÈCES PORCINE ET BOVINE AINSI QUE DES VIANDES ET ABATS COMESTIBLES DE PRIMATES, DE BALEINES, DE</t>
  </si>
  <si>
    <t>=t("   Poissons de mer et d'eau douce, comestibles, frais ou réfrigérés (à l'excl. des salmonidés, des poissons plats, des thons, des listaos ou bonites à ventre rayé, des harengs, des morues, des sardines, des sardinelles, des sprats ou esprots, des égle</t>
  </si>
  <si>
    <t>=t("   POISSONS D'EAU DOUCE ET DE MER, COMESTIBLES, CONGELÉS (À L'EXCL. DES SALMONIDÉS, DES POISSONS PLATS, DES THONS, DES LISTAOS OU BONITES À VENTRE RAYÉ, DES HARENGS, DES MORUES, DES ESPADONS, DES LÉGINES, DES SARDINES, DES SARDINELLES, DES SPRATS OU E</t>
  </si>
  <si>
    <t>=t("   CRUSTACÉS, COMESTIBLES, MÊME DÉCORTIQUÉS, CONGELÉS, Y.C. LES CRUSTACÉS NON-DÉCORTIQUÉS PRÉALABLEMENT CUITS À L'EAU OU À LA VAPEUR (À L'EXCL. DES LANGOUSTES, DES HOMARDS, DES CREVETTES OU DES CRABES); FARINES, POUDRES ET AGGLOMÉRÉS SOUS FORME DE PEL</t>
  </si>
  <si>
    <t xml:space="preserve">=t("   Mollusques, propres à l'alimentation humaine, même séparés de leur coquille, congelés, séchés, salés ou en saumure, y.c. les oursins, concombres de mer et autres invertébrés aquatiques, autres que les crustacés; farines, poudres et agglomérés sous </t>
  </si>
  <si>
    <t>=t("   FROMAGES (À L'EXCL. DES FROMAGES FRAIS [NON-AFFINÉS], Y.C. LE FROMAGE DE LACTOSÉRUM, DE LA CAILLEBOTTE, DES FROMAGES FONDUS, DES FROMAGES À PÂTE PERSILLÉE ET AUTRES FROMAGES PRÉSENTANT DES MARBRURES OBTENUES EN UTILISANT DU 'PENICILLIUM ROQUEFORTI'</t>
  </si>
  <si>
    <t>=t("   Légumes, à l'état frais ou réfrigéré (sauf pommes de terre, tomates, légumes alliacés, choux du genre Brassica, laitues [Lactuca sativa] et chicorées [Cichorium spp.], carottes, navets, betteraves à salade, salsifis, céleris, radis et racines comes</t>
  </si>
  <si>
    <t>=t("   Champignons et truffes, conservés provisoirement [p.ex. au moyen de gaz sulfureux ou dans de l'eau salée, soufrée ou additionnée d'autres substances servant à assurer provisoirement leur conservation], mais impropres à l'alimentation en l'état (à l</t>
  </si>
  <si>
    <t>=t("   Racines d'arrow-root ou de salep, topinambours et racines et tubercules simil. à haute teneur en fécule ou en inuline, frais, réfrigérés, congelés ou séchés, même débités en morceaux ou agglomérés sous forme de pellets et moelle de sagoutier (à l'e</t>
  </si>
  <si>
    <t>=t("   Citrons "Citrus limon, Citrus limonum" et limes "Citrus aurantifolia, Citrus latifolia", frais ou secs")</t>
  </si>
  <si>
    <t>=t("   AGRUMES, FRAIS OU SECS (À L'EXCL. DES ORANGES, DES CITRONS 'CITRUS LIMON, CITRUS LIMONUM', DES LIMES 'CITRUS AURANTIFOLIA, CITRUS LATIFOLIA', DES PAMPLEMOUSSES, DES POMÉLOS, DES MANDARINES - Y.C. LES TANGERINES ET LES SATSUMAS -, DES CLÉMENTINES, D</t>
  </si>
  <si>
    <t>=t("   Tamarins, pommes de cajou, fruits du jaquier [pain des singes], litchis, sapotilles, fruits de la passion, caramboles, pitahayas et autres fruits comestibles frais (sauf fruits à coque, bananes, dattes, figues, ananas, avocats, goyaves, mangues, ma</t>
  </si>
  <si>
    <t xml:space="preserve">=t("   FRUITS COMESTIBLES, NON-CUITS OU CUITS À L'EAU OU À LA VAPEUR, CONGELÉS, MÊME ADDITIONNÉS DE SUCRE OU D'AUTRES ÉDULCORANTS (À L'EXCL. DES FRAISES, DES FRAMBOISES, DES MÛRES DE RONCE OU DE MÛRIER, DES MÛRES-FRAMBOISES ET DES GROSEILLES À GRAPPES OU </t>
  </si>
  <si>
    <t>=t("   THÉ NOIR [FERMENTÉ] ET THÉ PARTIELLEMENT FERMENTÉ, MÊME AROMATISÉS, PRÉSENTÉS EN EMBALLAGES IMMÉDIATS D'UN CONTENU &lt;= 3 KG [01/01/1988-31/12/1991: THÉ NOIR [THÉ FERMENTE], ET THÉ PARTIELLEMENT FERMENTE, PRESENTES EN EMBALLAGES IMMEDIATS D'UN CONTEN</t>
  </si>
  <si>
    <t>=t("   THÉ NOIR [FERMENTÉ] ET THÉ PARTIELLEMENT FERMENTÉ, MÊME AROMATISÉS, PRÉSENTÉS EN EMBALLAGES IMMÉDIATS D'UN CONTENU &gt; 3 KG [01/01/1988-31/12/1991: THÉ NOIR [THÉ FERMENTE], ET THÉ PARTIELLEMENT FERMENTE, PRESENTES EN EMBALLAGES IMMEDIATS D'UN CONTENU</t>
  </si>
  <si>
    <t>=t("   ÉPICES (SAUF POIVRE [DU GENRE PIPER], PIMENTS DU GENRE CAPSICUM OU DU GENRE PIMENTA, VANILLE, CANNELLE ET FLEURS DE CANNELIER, GIROFLES [ANTOFLES, CLOUS ET GRIFFES], NOIX DE MUSCADE, MACIS, AMOMES ET CARDAMOMES, GRAINES D'ANIS, DE BADIANE, DE FENOU</t>
  </si>
  <si>
    <t>=t("   GRAINES ET FRUITS OLÉAGINEUX, MÊME CONCASSÉS (À L'EXCL. DES FRUITS À COQUE COMESTIBLES, DES OLIVES, DES FÈVES DE SOJA, DES ARACHIDES, DU COPRAH ET DES GRAINES DE LIN, DE NAVETTE, DE COLZA, DE TOURNESOL, DE COTON, DE SÉSAME, DE MOUTARDE, D'OEILLETTE</t>
  </si>
  <si>
    <t>=t("   GRAINES FOURRAGÈRES, À ENSEMENCER (À L'EXCL. DES GRAINES DE CÉRÉALES, DE BETTERAVES À SUCRE, DE LUZERNE, DE TRÈFLE [TRIFOLIUM SPP.], DE FÉTUQUE, DE PÂTURIN DES PRÉS DU KENTUCKY [POA PRATENSIS L.] ET DE RAY-GRASS [LOLIUM MULTIFLORUM LAM. ET LOLIUM P</t>
  </si>
  <si>
    <t>=t("   Graines, fruits et spores à ensemencer (à l'excl. des légumes à cosse, du maïs doux, café, thé, maté, des épices, céréales, graines et fruits oléagineux, betteraves, plantes fourragères, graines de légumes ainsi que des graines de plantes herbacées</t>
  </si>
  <si>
    <t>=t("   PLANTES, PARTIES DE PLANTES, GRAINES ET FRUITS DES ESPÈCES UTILISÉES PRINCIPALEMENT EN PARFUMERIE, EN MÉDECINE OU À USAGES INSECTICIDES, PARASITICIDES OU SIMIL., FRAIS OU SECS, MÊME COUPÉS, CONCASSÉS OU PULVÉRISÉS (À L'EXCL. DES RACINES DE GINSENG,</t>
  </si>
  <si>
    <t>=t("   Rutabagas, betteraves fourragères, racines fourragères, foin, luzerne, trèfle, sainfoin, choux fourragers, lupin, vesces et produits fourragers simil., même agglomérés sous forme de pellets (à l'excl. de la farine et des agglomérés sous forme de pe</t>
  </si>
  <si>
    <t>=t("   Huiles et leurs fractions, obtenues exclusivement à partir d'olives et par des procédés autres que ceux mentionnés au n° 1509, même raffinées, mais non chimiquement modifiées et mélanges de ces huiles ou fractions avec des huiles ou fractions du n°</t>
  </si>
  <si>
    <t>=t("   Huiles de navette ou de colza à faible teneur en acide érucique "huiles fixes dont la teneur en acide érucique est &lt; 2%" et leurs fractions, même raffinées, mais non chimiquement modifiées (à l'excl. des huiles brutes)")</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</si>
  <si>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</si>
  <si>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</si>
  <si>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=t("   Préparations et conserves de viande ou d'abats de dinde des espèces domestiques (à l'excl. des saucisses, saucissons et produits simil., des préparations finement homogénéisées, conditionnées pour la vente au détail comme aliments pour enfants ou p</t>
  </si>
  <si>
    <t>=t("   Préparations et conserves de viande ou d'abats de coqs et de poules [des espèces domestiques] (à l'excl. des saucisses, saucissons et produits simil., des préparations finement homogénéisées, conditionnées pour la vente au détail comme aliments pou</t>
  </si>
  <si>
    <t>=t("   Préparations et conserves de viande ou d'abats de canard, d'oie et de pintade [des espèces domestiques] (à l'excl. des saucisses, saucissons et produits simil., des préparations finement homogénéisées, conditionnées pour la vente au détail comme al</t>
  </si>
  <si>
    <t xml:space="preserve">=t("   Préparations et conserves de viande ou d'abats d'animaux de l'espèce porcine, y.c. les mélanges (à l'excl. des préparations et conserves constituées uniquement de jambons et de morceaux de jambon ou d'épaule et de morceaux d'épaule, des saucisses, </t>
  </si>
  <si>
    <t xml:space="preserve">=t("   Préparations et conserves de viande ou d'abats d'animaux de l'espèce bovine (à l'excl. des saucisses, saucissons et produits simil., des préparations finement homogénéisées, conditionnées pour la vente au détail comme aliments pour enfants ou pour </t>
  </si>
  <si>
    <t>=t("   Préparations et conserves à base de viande, d'abats ou de sang (à l'excl. des préparations et conserves de viande ou d'abats de volailles, de porcins et de bovins, des saucisses, saucissons et produits simil., des préparations finement homogénéisée</t>
  </si>
  <si>
    <t>=t("   Préparations et conserves de poissons entiers ou en morceaux (à l'excl. des préparations et conserves de poissons hachés, de saumons, de harengs, de sardines, de sardinelles, de sprats ou esprots, de thons, de listaos, de bonites 'Sarda spp.', de m</t>
  </si>
  <si>
    <t>=t("   Sucres, y.c. le sucre inverti [ou interverti] et le maltose chimiquement pur, à l'état solide, sucres et sirops de sucres contenant en poids à l'état sec 50% de fructose, sans addition d'aromatisants ou de colorants, succédanés du miel, même mélang</t>
  </si>
  <si>
    <t>=t("   Chocolat et autres préparations alimentaires contenant du cacao, présentés soit en blocs ou en barres d'un poids &gt; 2 kg, soit à l'état liquide ou pâteux ou en poudres, granulés ou formes simil., en récipients ou en emballages immédiats, d'un conten</t>
  </si>
  <si>
    <t>=t("   Préparations alimentaires de farines, gruaux, semoules, amidons, fécules ou extraits de malt, ne contenant pas de cacao ou contenant &lt; 40% en poids de cacao calculés sur une base entièrement dégraissée, n.d.a.; préparations alimentaires à base de l</t>
  </si>
  <si>
    <t>=t("   Mélanges et pâtes à base de farines, gruaux, semoules, amidons, fécules ou extraits de malt, ne contenant pas de cacao ou contenant &lt; 40% en poids de cacao calculés sur une base entièrement dégraissée, n.d.a.; mélanges et pâtes à base de lait, de c</t>
  </si>
  <si>
    <t>=t("   Extraits de malt; préparations alimentaires de farines, gruaux, semoules, amidons, fécules ou extraits de malt, ne contenant pas de cacao ou contenant &lt; 40% en poids de cacao calculés sur une base entièrement dégraissée, n.d.a.; préparations alimen</t>
  </si>
  <si>
    <t>=t("   Céréales (à l'excl. du maïs) en grains ou sous forme de flocons ou de grains autrement travaillés, précuites ou autrement préparées, n.d.a. (à l'excl. de la farine, du gruau et de la semoule, des préparations alimentaires à base de flocons de céréa</t>
  </si>
  <si>
    <t>=t("   Produits de la boulangerie, pâtisserie ou biscuiterie, même additionnés de cacao, hosties, cachets vides des types utilisés pour médicaments, pains à cacheter, pâtes séchées de farine, d'amidon ou de fécule en feuilles et produits simil. (sauf pain</t>
  </si>
  <si>
    <t>=t("   LÉGUMES ET MÉLANGES DE LÉGUMES, PRÉPARÉS OU CONSERVÉS AUTREMENT QU'AU VINAIGRE OU À L'ACIDE ACÉTIQUE, NON-CONGELÉS (À L'EXCL. DES LÉGUMES CONFITS AU SUCRE, DES LÉGUMES HOMOGÉNÉISÉS DU N° 2005.10, AINSI QUE DES TOMATES, DES CHAMPIGNONS, DES TRUFFES,</t>
  </si>
  <si>
    <t>=t("   Confitures, gelées, marmelades, purées et pâtes de fruits, obtenues par cuisson, avec ou sans addition de sucre ou d'autres édulcorants, présentées sous la forme de préparations finement homogénéisées, conditionnées pour la vente au détail comme al</t>
  </si>
  <si>
    <t xml:space="preserve">=t("   Confitures, gelées, marmelades, purées et pâtes de fruits, obtenues par cuisson, avec ou sans addition de sucre ou d'autres édulcorants (à l'excl. des préparations homogénéisées du n° 2007.10 ainsi que des confitures, gelées, marmelades, purées et </t>
  </si>
  <si>
    <t>=t("   FRUITS À COQUE ET AUTRES GRAINES, Y.C. LES MÉLANGES, PRÉPARÉS OU CONSERVÉS (SAUF PRÉPARÉS OU CONSERVÉS AU VINAIGRE OU À L'ACIDE ACÉTIQUE, CONFITS AU SUCRE MAIS NON-CONSERVÉS DANS DU SIROP ET À L'EXCL. DES CONFITURES, GELÉES DE FRUITS, MARMELADES, P</t>
  </si>
  <si>
    <t>=t("   ABRICOTS, PRÉPARÉS OU CONSERVÉS, AVEC OU SANS ADDITION DE SUCRE OU D'AUTRES ÉDULCORANTS OU D'ALCOOL (SAUF CONFITS AU SUCRE MAIS NON-CONSERVÉS DANS DU SIROP ET À L'EXCL. DES CONFITURES, GELÉES DE FRUITS, MARMELADES, PURÉES ET PÂTES DE FRUITS OBTENUE</t>
  </si>
  <si>
    <t>=t("   FRUITS ET AUTRES PARTIES COMESTIBLES DE PLANTES, PRÉPARÉS OU CONSERVÉS, AVEC OU SANS ADDITION DE SUCRE OU D'AUTRES ÉDULCORANTS OU D'ALCOOL (SAUF PRÉPARÉS OU CONSERVÉS AU VINAIGRE OU À L'ACIDE ACÉTIQUE, CONFITS AU SUCRE MAIS NON-CONSERVÉS DANS DU SI</t>
  </si>
  <si>
    <t>=t("   Préparations alimentaires composites homogénéisées consistant en un mélange finement homogénéisé de plusieurs substances de base, telles que viande, poisson, légumes, fruits, conditionnées pour la vente au détail comme aliments pour enfants ou pour</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</si>
  <si>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</si>
  <si>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</si>
  <si>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TIGES DE MAIS, FEUILLES DE MAIS, MARCS DE FRUITS ET AUTRES MATIÈRES, DÉCHETS, RESIDUS ET SOUS-PRODUITS VEGETAUX, MÊME AGGLOMÉRÉS SOUS FORME DE PELLETS, DES TYPES UTILISÉS POUR L'ALIMENTATION DES ANIMAUX, N.D.A. (À L'EXCL. DES GLANDS DE CHENE ET DES</t>
  </si>
  <si>
    <t>=t("   SEL, Y.C. LE SEL PRÉPARÉ POUR LA TABLE ET LE SEL DÉNATURÉ, ET CHLORURE DE SODIUM PUR, MÊME EN SOLUTION AQUEUSE OU ADDITIONNÉS D'AGENTS ANTIAGGLOMÉRANTS OU D'AGENTS ASSURANT UNE BONNE FLUIDITÉ; EAU DE MER [01/01/1988-31/12/1991: SEL, Y.C. LE SEL PRE</t>
  </si>
  <si>
    <t>=t("   Porphyre, basalte et autres pierres de taille ou de construction, même dégrossis ou simplement débités, en blocs ou en plaques de forme carrée ou rectangulaire (sauf granit, grès, pierres présentées sous la forme de granulés, d'éclats ou de poudres</t>
  </si>
  <si>
    <t>=t("   Acides inorganiques (à l'excl. de l'oléum, des oxydes de bore, du pentaoxyde de diphosphore, du chlorure d'hydrogène [acide chlorhydrique], du fluorure d'hydrogène [acide fluorhydrique] ainsi que des acides sulfurique, chlorosulfurique, nitrique, s</t>
  </si>
  <si>
    <t>=t("   CARBONATES ET PEROXOCARBONATES [PERCARBONATES]; CARBONATES D'AMMONIUM - Y.C. LE CARBONATE D'AMMONIUM DU COMMERCE CONTENANT DU CARBAMATE D'AMMONIUM (À L'EXCL. DE L'HYDROGÉNOCARBONATE [BICARBONATE] DE SODIUM, DES CARBONATES DE DISODIUM, DE POTASSIUM,</t>
  </si>
  <si>
    <t>=t("   ÉLÉMENTS, ISOTOPES ET COMPOSÉS RADIOACTIFS; ALLIAGES, DISPERSIONS - Y.C. LES CERMETS -, PRODUITS CÉRAMIQUES ET MÉLANGES RENFERMANT CES ÉLÉMENTS, ISOTOPES OU COMPOSÉS; RÉSIDUS RADIOACTIFS (SAUF URANIUM NATUREL, URANIUM ENRICHI OU APPAUVRI EN U235, P</t>
  </si>
  <si>
    <t xml:space="preserve">=t("   DÉRIVÉS CHLORÉS SATURÉS DES HYDROCARBURES ACYCLIQUES (À L'EXCL. DU CHLOROMÉTHANE [CHLORURE DE MÉTHYLE], DU CHLOROÉTHANE [CHLORURE D'ÉTHYLE], DU DICHLOROMÉTHANE [CHLORURE DE MÉTHYLÈNE], DU CHLOROFORME [TRICHLOROMÉTHANE], DU TÉTRACHLORURE DE CARBONE </t>
  </si>
  <si>
    <t>=t("   ACIDES MONOCARBOXYLIQUES ACYCLIQUES SATURÉS, ANHYDRIDES, HALOGÉNURES, PEROXYDES, PEROXYACIDES ET DÉRIVÉS HALOGÉNÉS, SULFONÉS, NITRÉS OU NITROSÉS (À L'EXCL. DES ACIDES FORMIQUE, ACÉTIQUE, MONO- OU TRICHLOROACÉTIQUES, PROPIONIQUE, BUTANOÏQUES, PENTAN</t>
  </si>
  <si>
    <t>=t("   ACIDES MONOCARBOXYLIQUES ACYCLIQUES NON-SATURÉS, LEURS ANHYDRIDES, HALOGÉNURES, PEROXYDES, PEROXYACIDES ET LEURS DÉRIVÉS HALOGÉNÉS, SULFONÉS, NITRÉS OU NITROSÉS (À L'EXCL. DES ACIDES ACRYLIQUE, MÉTHACRYLIQUE, OLÉIQUE, LINOLÉIQUE OU LINOLÉNIQUE AINS</t>
  </si>
  <si>
    <t>=t("   Acides monocarboxyliques aromatiques, leurs anhydrides, halogénures, peroxydes, peroxyacides et leurs dérivés halogénés, sulfonés, nitrés ou nitrosés (à l'excl. des acides benzoïque ou phénylacétique et des sels et esters de ces produits ainsi qu'à</t>
  </si>
  <si>
    <t>=t("   ACIDES CARBOXYLIQUES À FONCTION ALCOOL MAIS SANS AUTRE FONCTION OXYGÉNÉE, LEURS ANHYDRIDES, HALOGÉNURES, PEROXYDES, PEROXYACIDES ET LEURS DÉRIVÉS HALOGÉNÉS, SULFONÉS, NITRÉS OU NITROSÉS (À L'EXCL. DES ACIDES LACTIQUE, TARTRIQUE, CITRIQUE OU GLUCONI</t>
  </si>
  <si>
    <t>=t("   Composés à fonctions azotées (sauf isocyanates, composés aminés à fonctions oxygénées, sels et hydroxydes organiques d'ammonium quaternaires, lécithines et autres phosphoaminolipides, composés à fonction amide de l'acide carbonique, composés à fonc</t>
  </si>
  <si>
    <t>=t("   Composés hétérocycliques à hétéroatome[s] d'azote exclusivement (à l'excl. des composés comportant une structure à cycles quinoléine ou isoquinoléine, hydrogénés ou non, sans autres condensations ainsi que des composés dont la structure comporte un</t>
  </si>
  <si>
    <t>=t("   Acides nucléiques et leurs sels, de constitution chimique définie ou non; composés hétérocycliques (à l'excl. des composés à hétératome[s] d'oxygène exclusivement ou des composés à hétératome[s] d'azote exclusivement, des composés dont la structure</t>
  </si>
  <si>
    <t>=t("   Médicaments contenant des antibiotiques, non présentés sous forme de doses, ni conditionnés pour la vente au détail (à l'excl. des médicaments contenant des pénicillines ou des dérivés de ces produits, à structure d'acide pénicillanique, ou des str</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</si>
  <si>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</si>
  <si>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pénicillines ou des dérivés de ces produits, à structure d'acide pénicillanique, ou des streptomycines ou des dérivés de ces produits, présentés sous forme de doses [y.c. ceux destinés à être administrés par voie percutané</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</si>
  <si>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</si>
  <si>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contenant des hormones corticostéroïdes, leurs dérivés et analogues structurels, mais ne contenant pas d'antibiotiques, présentés sous forme de doses [y.c. ceux destinés à être administrés par voie percutanée] ou conditionnés pour la ve</t>
  </si>
  <si>
    <t>=t("   Médicaments contenant des hormones ou des stéroïdes utilisés comme hormones, mais ne contenant pas d'antibiotiques, présentés sous forme de doses [y.c. ceux destinés à être administrés par voie percutanée] ou conditionnés pour la vente au détail (à</t>
  </si>
  <si>
    <t xml:space="preserve">=t("   Médicaments contenant des alcaloïdes ou leurs dérivés, mais ne contenant ni hormones, ni stéroïdes utilisés comme hormones, ni antibiotiques, présentés sous forme de doses [y.c. ceux destinés à être administrés par voie percutanée] ou conditionnés </t>
  </si>
  <si>
    <t>=t("   Médicaments contenant des provitamines, des vitamines, y.c. les concentrats naturels, ou des dérivés de ces produits utilisés principalement en tant que vitamines, présentés sous forme de doses [y.c. ceux destinés à être administrés par voie percut</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</si>
  <si>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</si>
  <si>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</si>
  <si>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CATGUTS STÉRILES, LIGATURES STÉRILES SIMIL. POUR SUTURES CHIRURGICALES, Y.C. FILS RÉSORBABLES STÉRILES POUR LA CHIRURGIE OU L'ART DENTAIRE, ET ADHÉSIFS STÉRILES POUR TISSUS ORGANIQUES UTILISÉS EN CHIRURGIE POUR REFERMER LES PLAIES; LAMINAIRES STÉRI</t>
  </si>
  <si>
    <t xml:space="preserve">=t("   Préparations présentées sous forme de gel conçues pour être utilisées en médecine humaine ou vétérinaire comme lubrifiant pour certaines parties du corps lors des opérations chirurgicales ou des examens médicaux ou comme agent de couplage entre le </t>
  </si>
  <si>
    <t>=t("   Engrais d'origine animale ou végétale, même mélangés entre eux ou traités chimiquement; engrais résultant du mélange ou du traitement chimique de produits d'origine animale ou végétale (à l'excl. des produits présentés soit en tablettes ou formes s</t>
  </si>
  <si>
    <t xml:space="preserve">=t("   Sulfate de potassium et de magnésium et mélanges d'engrais potassiques [p.ex. mélanges de chlorure de potassium et de sulfate de potassium] (à l'excl. des produits présentés soit en tablettes ou formes simil., soit en emballages d'un poids brut &lt;= </t>
  </si>
  <si>
    <t>=t("   Engrais minéraux ou chimiques contenant les deux éléments fertilisants : azote (à l'excl. des nitrates) et phosphore (à l'excl. du dihydrogénoorthophosphate d'ammonium [phosphate monoammonique], de l'hydrogénoorthophosphate de diammonium [phosphate</t>
  </si>
  <si>
    <t>=t("   Matières colorantes d'origine végétale ou animale, y.c. les extraits tinctoriaux (sauf les noirs d'origine animale), même de constitution chimique définie; préparations à base de matières colorantes d'origine végétale ou animale ou bien destinées à</t>
  </si>
  <si>
    <t>=t("   Colorants organiques synthétiques dispersés; préparations à base de colorants organiques synthétiques dispersés, des types utilisés pour colorer toute matière ou bien destinées à entrer comme ingrédients dans la fabrication de préparations colorant</t>
  </si>
  <si>
    <t>=t("   Colorants organiques synthétiques basiques; préparations à base de colorants organiques synthétiques basiques, des types utilisés pour colorer toute matière ou bien destinées à entrer comme ingrédients dans la fabrication de préparations colorantes</t>
  </si>
  <si>
    <t>=t("   Colorants organiques synthétiques directs; préparations à base de colorants organiques synthétiques directs, des types utilisés pour colorer toute matière ou bien destinées à entrer comme ingrédients dans la fabrication de préparations colorantes (</t>
  </si>
  <si>
    <t>=t("   Colorants organiques synthétiques réactifs; préparations à base de colorants organiques synthétiques réactifs, des types utilisés pour colorer toute matière ou bien destinées à entrer comme ingrédients dans la fabrication de préparations colorantes</t>
  </si>
  <si>
    <t>=t("   Colorants organiques synthétiques pigmentaires; préparations à base de colorants organiques synthétiques pigmentaires, des types utilisés pour colorer toute matière ou bien destinées à entrer comme ingrédients dans la fabrication de préparations co</t>
  </si>
  <si>
    <t>=t("   Matières colorantes organiques synthétiques (sauf colorants dispersés, acides, à mordants, basiques, directs, de cuve, réactifs et pigmentaires); préparations à base de matières colorantes organiques synthétiques ou bien destinées à entrer comme in</t>
  </si>
  <si>
    <t>=t("   Pigments et préparations à base de dioxyde de titane, contenant en poids &gt;= 80% de dioxyde de titane calculé sur matière sèche, des types utilisés pour colorer toute matière ou bien destinés à entrer comme ingrédients dans la fabrication de prépara</t>
  </si>
  <si>
    <t>=t("   Pigments et préparations à base de composés du chrome, des types utilisés pour colorer toute matière ou bien destinés à entrer comme ingrédients dans la fabrication de préparations colorantes (à l'excl. des préparations du n° 3207, 3208, 3209, 3210</t>
  </si>
  <si>
    <t>=t("   Matières colorantes inorganiques ou minérales, n.d.a.; préparations à base de matières colorantes inorganiques ou minérales, des types utilisés pour colorer toute matière ou bien destinées à entrer comme ingrédients dans la fabrication de préparati</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</si>
  <si>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</si>
  <si>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</si>
  <si>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PIGMENTS, Y.C. LES POUDRES ET FLOCONS MÉTALLIQUES, DISPERSÉS DANS DES MILIEUX NON-AQUEUX, SOUS FORME DE LIQUIDE OU DE PÂTE, DES TYPES UTILISÉS POUR LA FABRICATION DE PEINTURES; TEINTURES ET AUTRES MATIÈRES COLORANTES, N.D.A., PRÉSENTÉES DANS DES FO</t>
  </si>
  <si>
    <t xml:space="preserve">=t("   Oléorésines d'extraction; solutions concentrées d'huiles essentielles dans les graisses, les huiles fixes, les cires ou matières analogues, obtenues par enfleurage ou macération; sous-produits terpéniques résiduaires de la déterpénation des huiles </t>
  </si>
  <si>
    <t>=t("   Mélanges de substances odoriférantes et mélanges, y.c. les solutions alcooliques, à base d'une ou de plusieurs de ces substances, des types utilisés comme matières de base pour l'industrie (à l'excl. des mélanges des types utilisés pour les industr</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</si>
  <si>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</si>
  <si>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</si>
  <si>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</si>
  <si>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Préparations tensio-actives, préparations pour lessives, préparations auxiliaires de lavage et préparations de nettoyage, conditionnées pour la vente au détail (à l'excl. des agents de surface organiques, des savons et des préparations organiques t</t>
  </si>
  <si>
    <t>=t("   Préparations tensio-actives, préparations pour lessives, préparations auxiliaires de lavage et préparations de nettoyage (à l'excl. des préparations conditionnées pour la vente au détail, des agents de surface organiques, des savons et des préparat</t>
  </si>
  <si>
    <t>=t("   Préparations lubrifiantes, y.c. huiles de coupe, préparations pour le dégrippage des écrous, préparations antirouille ou anticorrosion, préparations pour le démoulage, à base de lubrifiants, contenant des huiles de pétrole ou de minéraux bitumineux</t>
  </si>
  <si>
    <t>=t("   Préparations lubrifiantes, y.c. les huiles de coupe, les préparations pour le dégrippage des écrous, les préparations antirouille ou anticorrosion et les préparations pour le démoulage, à base de lubrifiants, ne contenant pas d'huiles de pétrole ou</t>
  </si>
  <si>
    <t>=t("   CIRES ARTIFICIELLES ET CIRES PRÉPARÉES (À L'EXCL. DES CIRES DE LIGNITE MODIFIÉ CHIMIQUEMENT ET DES CIRES DE POLY"OXYÉTHYLÈNE" [POLYÉTHYLÈNEGLYCOLS])")</t>
  </si>
  <si>
    <t>=t("   Cirages, crèmes et préparations simil. pour l'entretien des chaussures ou du cuir, même sous forme de papier, ouates, feutres, nontissés, matière plastique ou caoutchouc alvéolaires, imprégnés, enduits ou recouverts de ces préparations (à l'excl. d</t>
  </si>
  <si>
    <t>=t("   Encaustiques et préparations simil. pour l'entretien des meubles en bois, des parquets ou d'autres boiseries, même sous forme de papier, ouates, feutres, nontissés, matière plastique ou caoutchouc alvéolaires, imprégnés, enduits ou recouverts de ce</t>
  </si>
  <si>
    <t>=t("   Brillants et préparations simil. pour carrosseries, même sous forme de papier, ouates, feutres, nontissés, matière plastique ou caoutchouc alvéolaires, imprégnés, enduits ou recouverts de ces préparations (à l'excl. des brillants pour métaux et des</t>
  </si>
  <si>
    <t>=t("   Pâtes à modeler, y.c. celles présentées pour l'amusement des enfants; compositions dites 'cires pour l'art dentaire' présentées en assortiments, dans des emballages de vente au détail ou en plaquettes, fers à cheval, bâtonnets ou sous des formes si</t>
  </si>
  <si>
    <t>=t("   Gélatines, y.c. celles présentées en feuilles de forme carrée ou rectangulaire, même ouvrées en surface ou colorées, et leurs dérivés; ichtyocolle; autres colles d'origine animale (à l'excl. des colles de caséine du n° 3501 ainsi que des produits c</t>
  </si>
  <si>
    <t>=t("   Ferrocérium et autres alliages pyrophoriques sous toutes formes; métaldéhyde, hexaméthylènetétramine et produits simil., présentés en tablettes, bâtonnets ou sous des formes simil. impliquant leur utilisation comme combustibles; combustibles à base</t>
  </si>
  <si>
    <t>=t("   Plaques et films plans, photographiques, sensibilisés, non impressionnés, pour la photographie en couleurs [polychrome], en autres matières que le papier, le carton ou les textiles (à l'excl. des films à développement et tirage instantanés ainsi qu</t>
  </si>
  <si>
    <t>=t("   Plaques et films plans, photographiques, sensibilisés, non impressionnés, pour la photographie en monochrome, en autres matières que le papier, le carton ou les textiles (à l'excl. des plaques et films pour rayons X, des films à développement et ti</t>
  </si>
  <si>
    <t>=t("   Pellicules photographiques sensibilisées, non impressionnées, non perforées, en rouleaux, d'une largeur &lt;= 105 mm, pour la photographie en monochrome (à l'excl. des pellicules pour rayons X, des produits en papier, en carton ou en matières textiles</t>
  </si>
  <si>
    <t>=t("   PELLICULES PHOTOGRAPHIQUES SENSIBILISÉES, NON-IMPRESSIONNÉES, PERFORÉES, EN ROULEAUX, D'UNE LARGEUR &gt; 16 MM MAIS &lt;= 35 MM ET D'UNE LONGUEUR &lt;= 30 M, POUR LA PHOTOGRAPHIE EN COULEURS [POLYCHROME] (SAUF EN PAPIER, EN CARTON OU EN MATIÈRES TEXTILES ET</t>
  </si>
  <si>
    <t>=t("   PRÉPARATIONS CHIMIQUES POUR USAGES PHOTOGRAPHIQUES, Y.C. LES PRODUITS NON-MÉLANGÉS, SOIT DOSÉS EN VUE D'USAGES PHOTOGRAPHIQUES, SOIT CONDITIONNÉS POUR LA VENTE AU DÉTAIL POUR CES MÊMES USAGES ET PRÊTS À L'EMPLOI (À L'EXCL. DES VERNIS, COLLES, ADHÉS</t>
  </si>
  <si>
    <t>=t("   MARCHANDISES CONTENANT UNE OU PLUSIEURS DES SUBSTANCES DE L'ALDRINE [ISO], DU BINAPACRYL [ISO], DU CAMPHÉCHLORE [ISO] [TOXAPHÈNE], DU CAPTAFOL [ISO], DU CHLORDANE [ISO], DU CHLORDIMÉFORME [ISO], DU CHLOROBENZILATE [ISO], DES COMPOSÉS DU MERCURE, DU</t>
  </si>
  <si>
    <t>=t("   ANTIRONGEURS ET AUTRES PRODUITS PHYTOSANITAIRES, PRÉSENTÉS DANS DES FORMES OU EMBALLAGES DE VENTE AU DÉTAIL OU À L'ÉTAT DE PRÉPARATIONS OU SOUS FORME D'ARTICLES (À L'EXCL. DES INSECTICIDES, DES FONGICIDES, DES HERBICIDES, DES DÉSINFECTANTS AINSI QU</t>
  </si>
  <si>
    <t>=t("   AGENTS D'APPRÊT OU DE FINISSAGE, ACCÉLÉRATEURS DE TEINTURE OU DE FIXATION DE MATIÈRES COLORANTES ET AUTRES PRODUITS ET PRÉPARATIONS [PAREMENTS PRÉPARÉS ET PRÉPARATIONS POUR LE MORDANÇAGE, P.EX.], À BASE DE MATIÈRES AMYLACÉES, DES TYPES UTILISÉS DAN</t>
  </si>
  <si>
    <t>=t("   Agents d'apprêt ou de finissage, accélérateurs de teinture ou de fixation de matières colorantes et autres produits et préparations [parements préparés et préparations pour le mordançage, par exemple], des types utilisés dans l'industrie du cuir ou</t>
  </si>
  <si>
    <t>=t("   AGENTS D'APPRET OU DE FINISSAGE, ACCELERATEURS DE TEINTURE OU DE FIXATION DE MATIÈRES COLORANTES ET AUTRES PRODUITS ET PRÉPARATIONS [PAREMENTS PREPARES ET PRÉPARATIONS POUR LE MORDANCAGE, PAR EXEMPLE], DES TYPES UTILISÉS DANS L'INDUSTRIE DU CUIR OU</t>
  </si>
  <si>
    <t>=t("   Flux à souder ou à braser et autres préparations auxiliaires pour le soudage ou le brasage des métaux; préparations des types utilisés pour l'enrobage ou le fourrage des électrodes ou des baguettes de soudage (à l'excl. des pâtes et poudres composé</t>
  </si>
  <si>
    <t>=t("   Inhibiteurs d'oxydation, additifs peptisants, améliorants de viscosité, additifs anticorrosifs et autres additifs préparés, pour huiles minérales - y.c. l'essence - ou pour autres liquides utilisés aux mêmes fins que les huiles minérales (à l'excl.</t>
  </si>
  <si>
    <t xml:space="preserve">=t("   Compositions et charges pour appareils extincteurs; grenades et bombes extinctrices (à l'excl. des appareils extincteurs, même portatifs, chargés ou non, ainsi que des produits chimiques, ayant des propriétés extinctrices, présentés isolément sans </t>
  </si>
  <si>
    <t xml:space="preserve">=t("   Réactifs de diagnostic ou de laboratoire sur tout support et réactifs de diagnostic ou de laboratoire préparés, même présentés sur un support ainsi que des matériaux de référence certifiés (à l'excl. des réactifs composés de diagnostic conçus pour </t>
  </si>
  <si>
    <t>=t("   Déchets des industries chimiques ou des industries connexes (à l'excl. des déchets de solutions [liqueurs] décapantes pour métaux, de liquides hydrauliques, de liquides pour freins et de liquides antigel et ceux  contenant principalement des consti</t>
  </si>
  <si>
    <t>=t("   POLYMÈRES DES ESTERS DE VINYLE ET AUTRES POLYMÈRES DE VINYLE, SOUS FORMES PRIMAIRES (À L'EXCL. DES POLYMÈRES DU CHLORURE DE VINYLE OU D'AUTRES OLÉFINES HALOGÉNÉES, DU POLY[ACÉTATE DE VINYLE], DES COPOLYMÈRES AINSI QUE DU POLY[ALCOOL VINYLIQUE], MÊM</t>
  </si>
  <si>
    <t xml:space="preserve">=t("   Monofilaments dont la plus grande dimension de la coupe transversale &gt; 1 mm [monofils], joncs, bâtons et profilés, même ouvrés en surface mais non autrement travaillés, en matières plastiques (à l'excl. des monofilaments en polymères de l'éthylène </t>
  </si>
  <si>
    <t>=t("   Revêtements de sols, même auto-adhésifs, en rouleaux ou sous formes de carreaux ou de dalles, en polymères du chlorure de vinyle; revêtements de murs ou de plafonds en rouleaux d'une largeur &gt;= 45 cm, constitués d'une couche de matière plastique fi</t>
  </si>
  <si>
    <t>=t("   Revêtements de sols, même auto-adhésifs, en rouleaux ou sous formes de carreaux ou de dalles, et revêtements de murs ou de plafonds en rouleaux d'une largeur &gt;= 45 cm constitués d'une couche de matière plastique fixée en manière permanente sur un s</t>
  </si>
  <si>
    <t>=t("   Plaques, feuilles, bandes, rubans, pellicules et autres formes plates, auto-adhésifs, en matières plastiques, même en rouleaux (à l'excl. des produits en rouleaux d'une largeur &lt;= 20 cm ainsi que des revêtements de sols, de murs ou de plafonds du n</t>
  </si>
  <si>
    <t>=t("   PLAQUES, FEUILLES, PELLICULES, BANDES ET LAMES, EN POLYMÈRES DE L'ÉTHYLÈNE NON-ALVÉOLAIRES, NON-RENFORCÉES NI STRATIFIÉES, NI MUNIES D'UN SUPPORT, NI PAREILLEMENT ASSOCIÉES À D'AUTRES MATIÈRES, NON-TRAVAILLÉES OU SIMPL. OUVRÉES EN SURFACE OU SIMPL.</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</si>
  <si>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</si>
  <si>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PLAQUES, FEUILLES, PELLICULES, BANDES ET LAMES, EN POLYMÈRES DU CHLORURE DE VINYLE NON-ALVÉOLAIRES, CONTENANT EN POIDS &gt;= 6% DE PLASTIFIANTS, NON-RENFORCÉES NI STRATIFIÉES, NI MUNIES D'UN SUPPORT, NI PAREILLEMENT ASSOCIÉES À D'AUTRES MATIÈRES, NON-</t>
  </si>
  <si>
    <t>=t("   PLAQUES, FEUILLES, PELLICULES, BANDES ET LAMES, EN POLYMÈRES DU CHLORURE DE VINYLE NON-ALVÉOLAIRES, CONTENANT EN POIDS &lt; 6% DE PLASTIFIANTS, NON-RENFORCÉES NI STRATIFIÉES, NI MUNIES D'UN SUPPORT, NI PAREILLEMENT ASSOCIÉES À D'AUTRES MATIÈRES, NON-T</t>
  </si>
  <si>
    <t>=t("   PLAQUES, FEUILLES, PELLICULES, BANDES ET LAMES, EN POLYMÈRES ACRYLIQUES NON-ALVÉOLAIRES, NON-RENFORCÉES NI STRATIFIÉES, NI MUNIES D'UN SUPPORT, NI PAREILLEMENT ASSOCIÉES À D'AUTRES MATIÈRES, NON-TRAVAILLÉES OU SIMPL. OUVRÉES EN SURFACE OU SIMPL. DÉ</t>
  </si>
  <si>
    <t xml:space="preserve">=t("   Plaques, feuilles, pellicules, bandes et lames, en polycarbonates non alvéolaires, non renforcées ni stratifiées, ni munies d'un support, ni pareillement associées à d'autres matières, non travaillées ou simplement ouvrées en surface ou simplement </t>
  </si>
  <si>
    <t>=t("   PLAQUES, FEUILLES, PELLICULES, BANDES ET LAMES, EN POLY[ÉTHYLÈNE TÉRÉPHTALATE] NON-ALVÉOLAIRE, NON-RENFORCÉES NI STRATIFIÉES, NI MUNIES D'UN SUPPORT, NI PAREILLEMENT ASSOCIÉES À D'AUTRES MATIÈRES, NON-TRAVAILLÉES OU SIMPL. OUVRÉES EN SURFACE OU SIM</t>
  </si>
  <si>
    <t>=t("   Plaques, feuilles, pellicules, bandes et lames, en polyesters non alvéolaires, non renforcées ni stratifiées, ni munies d'un support, ni pareillement associées à d'autres matières, non travaillées ou simplement ouvrées en surface ou simplement déco</t>
  </si>
  <si>
    <t>=t("   PLAQUES, FEUILLES, PELLICULES, BANDES ET LAMES, EN DÉRIVÉS NON-ALVÉOLAIRES DE LA CELLULOSE, NON-RENFORCÉES NI STRATIFIÉES, NI MUNIES D'UN SUPPORT, NI PAREILLEMENT ASSOCIÉES À D'AUTRES MATIÈRES, NON-TRAVAILLÉES OU SIMPL. OUVRÉES EN SURFACE OU SIMPL.</t>
  </si>
  <si>
    <t>=t("   Plaques, feuilles, pellicules, bandes et lames, en poly[butyral de vinyle] non alvéolaire, non renforcées ni stratifiées, ni munies d'un support, ni pareillement associées à d'autres matières, non travaillées ou simplement ouvrées en surface ou sim</t>
  </si>
  <si>
    <t>=t("   PLAQUES, FEUILLES, PELLICULES, BANDES ET LAMES, EN MATIÈRES PLASTIQUES NON-ALVÉOLAIRES, N.D.A., NON-RENFORCÉES NI STRATIFIÉES, NI MUNIES D'UN SUPPORT, NI PAREILLEMENT ASSOCIÉES À D'AUTRES MATIÈRES, NON-TRAVAILLÉES OU SIMPL. OUVRÉES EN SURFACE OU SI</t>
  </si>
  <si>
    <t xml:space="preserve">=t("   Plaques, feuilles, pellicules, bandes et lames, en polymères alvéolaires du styrène, non travaillées ou simplement ouvrées en surface ou simplement découpées de forme carrée ou rectangulaire (à l'excl. des produits auto-adhésifs et des revêtements </t>
  </si>
  <si>
    <t>=t("   Plaques, feuilles, pellicules, bandes et lames, en polymères alvéolaires du chlorure de vinyle, non travaillées ou simplement ouvrées en surface ou simplement découpées de forme carrée ou rectangulaire (à l'excl. des produits auto-adhésifs et des r</t>
  </si>
  <si>
    <t>=t("   PLAQUES, FEUILLES, PELLICULES, BANDES ET LAMES, EN POLYURÉTHANNES ALVÉOLAIRES, NON-TRAVAILLÉES OU SIMPL. OUVRÉES EN SURFACE OU SIMPL. DÉCOUPÉES DE FORME CARRÉE OU RECTANGULAIRE (À L'EXCL. DES PRODUITS AUTO-ADHÉSIFS ET DES REVÊTEMENTS DE SOLS, DE MU</t>
  </si>
  <si>
    <t>=t("   Plaques, feuilles, pellicules, bandes et lames, en produits alvéolaires, non travaillées ou simplement ouvrées en surface ou simplement découpées de forme carrée ou rectangulaire (à l'excl. des produits en polymères du styrène ou du chlorure de vin</t>
  </si>
  <si>
    <t xml:space="preserve">=t("   PLAQUES, FEUILLES, PELLICULES, BANDES ET LAMES, EN MATIÈRES PLASTIQUES, RENFORCÉES, STRATIFIÉES, MUNIES D'UN SUPPORT OU PAREILLEMENT ASSOCIÉES À D'AUTRES MATIÈRES, NON-TRAVAILLÉES OU SIMPL. OUVRÉES EN SURFACE OU SIMPL. DÉCOUPÉES DE FORME CARRÉE OU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</si>
  <si>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</si>
  <si>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</si>
  <si>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ÉLÉMENTS STRUCTURAUX UTILISÉS NOTAMMENT POUR LA CONSTRUCTION DES SOLS, DES MURS, DES CLOISONS, DES PLAFONDS OU DES TOITS, EN MATIÈRES PLASTIQUES: GOUTTIÈRES ET ACCESSOIRES; RAMBARDES, BALUSTRADES, RAMPES ET BARRIÈRES SIMIL.; RAYONNAGES DE GRANDES D</t>
  </si>
  <si>
    <t>=t("   Caoutchouc synthétique et factice pour caoutchouc dérivé des huiles, sous formes primaires ou en plaques, feuilles ou bandes (sauf latex et caoutchoucs styrène-butadiène, styrène-butadiène carboxylé, butadiène, isobutène-isoprène [butyle], isobutèn</t>
  </si>
  <si>
    <t>=t("   Caoutchouc mélangé, non vulcanisé, en plaques, feuilles ou bandes (à l'excl. du caoutchouc additionné de noir de carbone ou de silice ainsi que des mélanges de caoutchouc naturel, de balata, de gutta-percha, de guayule, de chicle ou de gommes natur</t>
  </si>
  <si>
    <t>=t("   Baguettes, tubes, profilés et formes simil., disques, rondelles et articles simil., en caoutchouc non vulcanisé, même mélangé (à l'excl. des profilés pour le rechapage ainsi que des plaques, feuilles ou bandes qui n'ont pas subi d'autres ouvraisons</t>
  </si>
  <si>
    <t>=t("   Fils et cordes de caoutchouc vulcanisé (à l'excl. des fils nus simples dont la plus grande dimension de la coupe transversale excède 5 mm ainsi que des matières textiles associées à des fils de caoutchouc [p.ex. fils et cordes de caoutchouc recouve</t>
  </si>
  <si>
    <t>=t("   TUBES ET TUYAUX EN CAOUTCHOUC VULCANISÉ NON DURCI, RENFORCÉS À L'AIDE D'AUTRES MATIÈRES QUE LE MÉTAL OU LES MATIÈRES TEXTILES OU AUTREMENT ASSOCIÉS À D'AUTRES MATIÈRES QUE LE MÉTAL OU LES MATIÈRES TEXTILES, AVEC ACCESSOIRES [JOINTS, COUDES, RACCORD</t>
  </si>
  <si>
    <t>=t("   COURROIES DE TRANSMISSION, EN CAOUTCHOUC VULCANISÉ (À L'EXCL. DE COURROIES DE TRANSMISSION SANS FIN DE SECTION TRAPÉZOÏDALE, STRIÉES, D'UNE CIRCONFÉRENCE EXTÉRIEURE &gt; 60 CM MAIS &lt;= 240 CM ET DES COURROIES DE TRANSMISSION SANS FIN, CRANTÉES 'SYNCHRO</t>
  </si>
  <si>
    <t>=t("   Pneumatiques neufs, en caoutchouc (à l'excl. des pneumatiques à crampons, à chevrons ou simil. ainsi que des pneumatiques des types utilisés pour les véhicules et engins agricoles et forestiers, de génie civil et de manutention industrielle, pour l</t>
  </si>
  <si>
    <t xml:space="preserve">=t("   Revêtements de sol et tapis de pied, en caoutchouc vulcanisé non durci, à bords biseautés ou moulurés, à coins arrondis, à bordures ajourées ou autrement travaillés (à l'excl. des ouvrages en caoutchouc alvéolaire ainsi que des ouvrages simplement </t>
  </si>
  <si>
    <t>=t("   Matelas pneumatiques, oreillers gonflables, coussins gonflables et autres articles gonflables, en caoutchouc vulcanisé non durci (à l'excl. des canots, radeaux et autres engins flottants, des pare-chocs pour l'accostage des bateaux ainsi que des ar</t>
  </si>
  <si>
    <t>=t("   Cuirs et peaux bruts entiers de bovins [y.c. les buffles] ou d'équidés, même épilés ou refendus, d'un poids unitaire &gt; 16 kg, frais, ou salés, séchés, chaulés, picklés ou autrement conservés (à l'excl. des cuirs et peaux tannés, parcheminés ou autr</t>
  </si>
  <si>
    <t>=t("   CUIRS ET PEAUX [Y.C. CUIRS ET PEAUX PARCHEMINÉS] DE PARTIES ET AUTRES PIÈCES DE CUIRS ET PEAUX DE BOVINS [Y. C. LES BUFFLES] OU D'ÉQUIDÉS, PRÉPARÉS APRÈS TANNAGE OU APRÈS DESSÈCHEMENT, ÉPILÉS (À L'EXCL. DES CUIRS ET PEAUX PLEINE FLEUR NON-REFENDUE,</t>
  </si>
  <si>
    <t>=t("   Articles de sellerie ou de bourrellerie pour tous animaux, y.c. les traits, laisses, genouillères, muselières, tapis de selles, fontes, manteaux pour chiens et articles simil., en toutes matières (à l'excl. des harnais pour enfants ou adultes ainsi</t>
  </si>
  <si>
    <t>=t("   Malles, valises et mallettes, y.c. les mallettes de toilette et mallettes porte-documents, serviettes, cartables et contenants simil. (à l'excl. des articles à surface extérieure en cuir naturel, reconstitué ou verni, en matières plastiques ou en m</t>
  </si>
  <si>
    <t xml:space="preserve">=t("   Portefeuilles, porte-monnaie, étuis à clés ou à cigarettes, blagues à tabac et articles simil. de poche ou de sac à main, à surface extérieure en fibre vulcanisée ou en carton, ou recouverts, en totalité ou en majeure partie, de ces mêmes matières </t>
  </si>
  <si>
    <t>=t("   Sacs de voyage, sacs isolants pour produits alimentaires et boissons, trousses de toilette, sacs à dos, sacs à provisions, porte-cartes, trousses à outils, sacs pour articles de sport, boîtes pour bijoux, écrins pour orfèvrerie et étuis pour jumell</t>
  </si>
  <si>
    <t>=t("   Sacs de voyage, trousses de toilette, sacs à dos, sacs à provisions, porte-cartes, trousses à outils, sacs pour articles de sport, boîtes pour bijoux, écrins pour orfèvrerie et étuis pour jumelles, appareils photographiques, caméras, instruments de</t>
  </si>
  <si>
    <t>=t("   Accessoires du vêtement, en cuir naturel ou reconstitué (à l'excl. des gants, des mitaines, des moufles, des ceintures, des ceinturons, des baudriers, des chaussures, des coiffures, des parties de chaussures ou de coiffures ainsi que des articles d</t>
  </si>
  <si>
    <t>=t("   Ouvrages en cuir naturel ou reconstitué (sauf meubles; appareils d'éclairage; articles de bijouterie fantaisie; boutons et leurs parties; boutons de manchette; jouets, jeux et engins sportifs; fouets, cravaches et articles simil.; articles de selle</t>
  </si>
  <si>
    <t>=t("   Bois bruts, traités avec une peinture, de la créosote ou d'autres agents de conservation (à l'excl. des bois simplement dégrossis ou arrondis pour cannes, parapluies, manches d'outils ou simil., des traverses en bois pour voies ferrées ou simil. ai</t>
  </si>
  <si>
    <t xml:space="preserve">=t("   BOIS BRUTS, MÊME ÉCORCÉS, DÉSAUBIÉRÉS OU ÉQUARRIS (SAUF BOIS DE CONIFÈRES, BOIS DE CHÊNE 'QUERCUS SPP.' OU DE HÊTRE 'FAGUS SPP.', BOIS TROPICAUX VISÉS À LA NOTE 1 DE SOUS-POSITION DU PRÉSENT CHAPITRE, BOIS SIMPL. DÉGROSSIS OU ARRONDIS POUR CANNES, </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</si>
  <si>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</si>
  <si>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</si>
  <si>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FEUILLES POUR PLACAGE - Y.C. CELLES OBTENUES PAR TRANCHAGE DE BOIS STRATIFIÉ -,  FEUILLES POUR CONTRE-PLAQUÉS OU POUR AUTRES BOIS STRATIFIÉS SIMIL. ET AUTRES BOIS SCIÉS LONGITUDINALEMENT, TRANCHÉS OU DÉROULÉS, MÊME RABOTÉS, PONCÉS, ASSEMBLÉS BORD À</t>
  </si>
  <si>
    <t>=t("   BOIS DE CONIFÈRES, Y.C. LES LAMES ET FRISES POUR PARQUETS, NON-ASSEMBLÉES, PROFILÉS "LANGUETÉS, RAINÉS, BOUVETÉS, FEUILLURÉS, CHANFREINÉS, JOINTS EN V, MOULURÉS, ARRONDIS OU SIMIL." TOUT AU LONG D'UNE OU DE PLUSIEURS RIVES, FACES OU BOUTS, MÊME RAB</t>
  </si>
  <si>
    <t>=t("   Panneaux de particules et panneaux simil., en bois, même agglomérés avec des résines ou d'autres liants organiques (sauf bruts ou simplement poncés, recouverts en surface de papier imprégné de mélamine ou de plaques ou de feuilles décoratives strat</t>
  </si>
  <si>
    <t>=t("   Panneaux de particules et panneaux simil., en fragments provenant de la bagasse, bambou ou paille de céréales ou en autres matières ligneuses, même agglomérés avec des résines ou d'autres liants organiques (sauf panneaux de fibres; panneaux cellula</t>
  </si>
  <si>
    <t>=t("   PANNEAUX DE FIBRES DE BOIS À DENSITÉ MOYENNE "MDF", D'UNE ÉPAISSEUR &gt; 5 MM MAIS &lt;= 9 MM"")</t>
  </si>
  <si>
    <t>=t("   PANNEAUX DE FIBRES DE BOIS À DENSITÉ MOYENNE "MDF", D'UNE ÉPAISSEUR &gt; 9 MM"")</t>
  </si>
  <si>
    <t>=t("   Panneaux de fibres de bois ou autres matières ligneuses, même agglomérées avec des liants organiques, d'une masse volumique &lt;= 0,35 g/cm³, non ouvrés mécaniquement ni recouverts en surface (sauf carton, panneaux de particules, même stratifiés, bois</t>
  </si>
  <si>
    <t>=t("   PANNEAUX DE FIBRES DE BOIS OU AUTRES MATIÈRES LIGNEUSES, MÊME AGGLOMÉRÉES AVEC DES LIANTS ORGANIQUES, D'UNE MASSE VOLUMIQUE &gt; 0,5 G/CM³ MAIS &lt;= 0,8 G/CM³ (SAUF PANNEAUX DE FIBRES À DENSITÉ MOYENNE "MDF", CARTON, PANNEAUX DE PARTICULES, MÊME STRATIF</t>
  </si>
  <si>
    <t>=t("   Panneaux de fibres de bois ou autres matières ligneuses, même agglomérées avec des liants organiques, d'une masse volumique &lt;= 0,35 g/cm³, ouvrés mécaniquement ou recouverts en surface (sauf carton, panneaux simplement poncés ou de particules, même</t>
  </si>
  <si>
    <t>=t("   BOIS CONTRE-PLAQUÉS CONSTITUES EXCLUSIVEMENT DE FEUILLES DE BOIS DONT CHACUNE A UNE ÉPAISSEUR =&lt; 6 MM, AYANT AU MOINS UN PLI EXTERIEUR EN BOIS TROPICAUX ENUMERES CI-APRES : DARK RED OU LIGHT RED MERANTI, WHITE LAUAN, SIPO, LIMBA, OKOUME, OBECHE, AC</t>
  </si>
  <si>
    <t>=t("   BOIS CONTRE-PLAQUÉS CONSTITUES EXCLUSIVEMENT DE FEUILLES DE BOIS DONT CHACUNE A UNE ÉPAISSEUR =&lt; 6 MM, AYANT AU MOINS UN PLI EXTERIEUR EN BOIS AUTRES QUE DE CONIFÈRES (À L'EXCL. DES PANNEAUX EN BOIS DITS 'DENSIFIES', DES PANNEAUX CELLULAIRES EN BOI</t>
  </si>
  <si>
    <t>=t("   Bois contre-plaqués constitués exclusivement de feuilles de bois dont chacune a une épaisseur &lt;= 6 mm, ayant au moins un pli extérieur en bois tropicaux visés à la note 1 de sous-position du présent chapitre (à l'excl. des panneaux en bois dits 'de</t>
  </si>
  <si>
    <t>=t("   Bois contre-plaqués constitués exclusivement de feuilles de bois dont chacune a une épaisseur &lt;= 6 mm (à l'excl. des bois contre-plaqués du n° 4412.13 et 4412.14, des panneaux en bois dits 'densifiés', des panneaux cellulaires en bois, des bois mar</t>
  </si>
  <si>
    <t>=t("   Bois plaqués et bois stratifiés simil., ayant au moins un pli extérieur en bois autres que de conifères et autres que de bois tropicaux visés à la note 1 de sous-position du présent chapitre, ne contenant pas de panneaux de particules (à l'excl. de</t>
  </si>
  <si>
    <t>=t("   BOIS CONTRE-PLAQUÉS CONSTITUÉS EXCLUSIVEMENT DE FEUILLES DE BOIS DONT CHACUNE A UNE ÉPAISSEUR &lt;= 6 MM, AYANT AU MOINS UN PLI EXTÉRIEUR EN BOIS TROPICAUX VISÉS À LA NOTE 1 DE SOUS-POSITION DU PRÉSENT CHAPITRE (À L'EXCL. DES PANNEAUX EN BOIS DITS 'DE</t>
  </si>
  <si>
    <t>=t("   BOIS CONTRE-PLAQUÉS CONSTITUÉS EXCLUSIVEMENT DE FEUILLES DE BOIS DONT CHACUNE A UNE ÉPAISSEUR &lt;= 6 MM, AYANT AU MOINS UN PLI EXTÉRIEUR EN BOIS AUTRES QUE DE CONIFÈRES ET AUTRES QUE DE BOIS TROPICAUX VISÉS À LA NOTE 1 DE SOUS-POSITION DU PRÉSENT CHA</t>
  </si>
  <si>
    <t>=t("   BOIS CONTRE-PLAQUÉS CONSTITUÉS EXCLUSIVEMENT DE FEUILLES DE BOIS DONT CHACUNE A UNE ÉPAISSEUR &lt;= 6 MM (À L'EXCL. DE BAMBOU, DES BOIS CONTRE-PLAQUÉS DES SOUS-POSITIONS 4412.31 ET 4412.32, DES PANNEAUX EN BOIS DITS 'DENSIFIÉS', DES PANNEAUX CELLULAIR</t>
  </si>
  <si>
    <t xml:space="preserve">=t("   BOIS PLAQUÉS ET BOIS STRATIFIÉS SIMIL., SANS ÂME PANNEAUTÉE, LATTÉE OU LAMELLÉE (À L'EXCL. DE BAMBOO, DES BOIS CONTRE-PLAQUÉS CONSTITUÉS EXCLUSIVEMENT DE FEUILLES DE BOIS DONT CHACUNE A UNE ÉPAISSEUR &lt;= 6 MM, DES PANNEAUX EN BOIS DITS 'DENSIFIÉS', </t>
  </si>
  <si>
    <t>=t("   Outils, montures et manches d'outils, montures de brosses, manches de balais ou de brosses, en bois; formes, embauchoirs et tendeurs pour chaussures, en bois (à l'excl. des moules du n° 8480, des formes de chapellerie ainsi que des machines et part</t>
  </si>
  <si>
    <t>=t("   OUVRAGES DE MENUISERIE ET PIÈCES DE CHARPENTE POUR CONSTRUCTION, Y.C. LES PANNEAUX CELLULAIRES (À L'EXCL. DES FENÊTRES, PORTES-FENÊTRES ET LEURS CADRES ET CHAMBRANLES, DES PORTES ET LEURS CADRES, CHAMBRANLES ET SEUILS, DES POTEAUX ET POUTRES, DES P</t>
  </si>
  <si>
    <t>=t("   Articles en bois pour la table ou la cuisine (à l'excl. des articles d'ameublement, des objets d'ornement, des ouvrages de tonnellerie, des parties d'articles en bois pour la table ou la cuisine, des balais, des brosses ainsi que des tamis et cribl</t>
  </si>
  <si>
    <t>=t("   Bois marquetés et bois incrustés; coffrets, écrins et étuis pour bijouterie ou orfèvrerie et ouvrages simil., en bois; articles d'ameublement en bois (à l'excl. des statuettes et autres objets d'ornement, des meubles, des appareils d'éclairage ains</t>
  </si>
  <si>
    <t xml:space="preserve">=t("   Ouvrages de vannerie obtenus directement en forme à partir de matières à tresser non végétales ou confectionnés à l'aide de matières à tresser non végétales du n° 4601 (à l'excl. des revêtements muraux du n° 4814, des ficelles, cordes et cordages, </t>
  </si>
  <si>
    <t>=t("   PAPIERS OU CARTONS À RECYCLER [DÉCHETS ET REBUTS], Y.C. LES DÉCHETS ET REBUTS NON-TRIÉS (À L'EXCL. DE LA LAINE DE PAPIER, DES DÉCHETS ET REBUTS DE PAPIERS OU CARTONS KRAFT ÉCRUS OU DE PAPIERS OU CARTONS ONDULÉS AINSI QUE DES PRODUITS NON-COLORÉS DA</t>
  </si>
  <si>
    <t>=t("   Papiers et cartons, non couchés ni enduits, utilisés pour l'écriture, l'impression ou d'autres fins graphiques, et papiers et cartons pour cartes ou bandes à perforer, non perforés, en rouleaux ou en feuilles de forme carrée ou rectangulaire, de to</t>
  </si>
  <si>
    <t>=t("   PAPIERS ET CARTONS, NON-COUCHÉS NI ENDUITS, UTILISÉS POUR L'ÉCRITURE, L'IMPRESSION OU D'AUTRES FINS GRAPHIQUES, ET PAPIERS ET CARTONS POUR CARTES OU BANDES À PERFORER, NON-PERFORÉS, EN ROULEAUX DE TOUT FORMAT, SANS FIBRES OBTENUES PAR UN PROCÉDÉ MÉ</t>
  </si>
  <si>
    <t>=t("   PAPIERS ET CARTONS, NON-COUCHÉS NI ENDUITS, UTILISÉS POUR L'ÉCRITURE, L'IMPRESSION OU D'AUTRES FINS GRAPHIQUES, ET PAPIERS ET CARTONS POUR CARTES OU BANDES À PERFORER, NON-PERFORÉS, EN FEUILLES DE FORME CARRÉE OU RECTANGULAIRE DONT UN CÔTÉ &lt;= 435 M</t>
  </si>
  <si>
    <t>=t("   Papiers et cartons, non couchés ni enduits, utilisés pour l'écriture, l'impression ou d'autres fins graphiques, et papiers et cartons pour cartes ou bandes à perforer, non perforés, en feuilles de forme carrée ou rectangulaire dont un coté &gt; 435 mm</t>
  </si>
  <si>
    <t>=t("   PAPIERS ET CARTONS, NON-COUCHÉS NI ENDUITS, UTILISÉS POUR L'ÉCRITURE, L'IMPRESSION OU D'AUTRES FINS GRAPHIQUES, ET PAPIERS ET CARTONS POUR CARTES OU BANDES À PERFORER, NON-PERFORÉS, EN ROULEAUX OU EN FEUILLES DE FORME CARRÉE OU RECTANGULAIRE, DE TO</t>
  </si>
  <si>
    <t xml:space="preserve">=t("   PAPIERS ET CARTONS, NON-COUCHÉS NI ENDUITS, UTILISÉS POUR L'ÉCRITURE, L'IMPRESSION OU D'AUTRES FINS GRAPHIQUES, ET PAPIERS ET CARTONS POUR CARTES OU BANDES À PERFORER, NON-PERFORÉS, EN ROULEAUX DE TOUT FORMAT, DONT &gt; 10% EN POIDS DE LA COMPOSITION </t>
  </si>
  <si>
    <t>=t("   Papiers utilisés pour papiers de toilette, serviettes à démaquiller, essuie-mains, serviettes ou papiers simil. à usages domestiques, d'hygiène ou de toilette, ouate de cellulose et nappes de fibres de cellulose, même crêpés, plissés, gaufrés, esta</t>
  </si>
  <si>
    <t>=t("   PAPIERS ET CARTONS KRAFT, ÉCRUS, NON-COUCHÉS NI ENDUITS, EN ROULEAUX D'UNE LARGEUR &gt; 36 CM OU EN FEUILLES DE FORME CARRÉE OU RECTANGULAIRE DONT AU MOINS UN CÔTÉ &gt; 36 CM ET L'AUTRE &gt; 15 CM À L'ÉTAT NON-PLIÉ, D'UN POIDS &lt;= 150 G/M² (À L'EXCL. DES PAP</t>
  </si>
  <si>
    <t>=t("   PAPIERS ET CARTONS KRAFT, NON-COUCHÉS NI ENDUITS, EN ROULEAUX D'UNE LARGEUR &gt; 36 CM OU EN FEUILLES DE FORME CARRÉE OU RECTANGULAIRE DONT AU MOINS UN CÔTÉ &gt; 36 CM ET L'AUTRE &gt; 15 CM À L'ÉTAT NON-PLIÉ, D'UN POIDS &lt;= 150 G/M² (À L'EXCL. DES PRODUITS É</t>
  </si>
  <si>
    <t>=t("   PAPIERS ET CARTONS KRAFT, NON-COUCHÉS NI ENDUITS, EN ROULEAUX D'UNE LARGEUR &gt; 36 CM OU EN FEUILLES DE FORME CARRÉE OU RECTANGULAIRE DONT AU MOINS UN CÔTÉ &gt; 36 CM ET L'AUTRE &gt; 15 CM À L'ÉTAT NON-PLIÉ, D'UN POIDS &gt;= 225 G/M² (SAUF PRODUITS 'KRAFTLINE</t>
  </si>
  <si>
    <t>=t("   PAPIER POUR CANNELURE, NON-COUCHÉS NI ENDUITS, EN ROULEAUX D'UNE LARGEUR &gt; 36 CM OU EN FEUILLES DE FORME CARRÉE OU RECTANGULAIRE DONT AU MOINS UN CÔTÉ &gt; 36 CM ET L'AUTRE &gt; 15 CM À L'ÉTAT NON-PLIÉ (À L'EXCL. DU PAPIER MI-CHIMIQUE POUR CANNELURE ET D</t>
  </si>
  <si>
    <t>=t("   PAPIER DIT 'CRISTAL' ET AUTRES PAPIERS CALANDRÉS TRANSPARENTS OU TRANSLUCIDES, EN ROULEAUX D'UNE LARGEUR &gt; 36 CM OU EN FEUILLES DE FORME CARRÉE OU RECTANGULAIRE DONT AU MOINS UN CÔTÉ &gt; 36 CM ET L'AUTRE &gt; 15 CM À L'ÉTAT NON-PLIÉ (À L'EXCL. DES PAPIE</t>
  </si>
  <si>
    <t>=t("   PAPIERS ET CARTONS ASSEMBLÉS À PLAT PAR COLLAGE, NON-COUCHÉS NI ENDUITS À LA SURFACE NI IMPRÉGNÉS, MÊME RENFORCÉS INTÉRIEUREMENT, EN ROULEAUX D'UNE LARGEUR &gt; 36 CM OU EN FEUILLES DE FORME CARRÉE OU RECTANGULAIRE DONT AU MOINS UN CÔTÉ &gt; 36 CM ET L'A</t>
  </si>
  <si>
    <t xml:space="preserve">=t("   Papiers kraft, crêpés ou plissés, même gaufrés, estampés ou perforés, en rouleaux d'une largeur &gt; 36 cm ou en feuilles de forme carrée ou rectangulaire dont au moins un coté &gt; 36 cm et l'autre &gt; 15 cm à l'état non plié (à l'excl. des papiers kraft </t>
  </si>
  <si>
    <t>=t("   Papiers et cartons crêpés, plissés, gaufrés, estampés ou perforés, en rouleaux d'une largeur &gt; 36 cm ou en feuilles de forme carrée ou rectangulaire dont au moins un coté &gt; 36 cm et l'autre &gt; 15 cm à l'état non plié (à l'excl. des articles du n° 48</t>
  </si>
  <si>
    <t>=t("   Papiers pour duplication ou reports - y.c. les papiers couchés, enduits ou imprégnés pour stencils ou pour plaques offset -, même imprimés, en rouleaux d'une largeur &gt; 36 cm ou en feuilles de forme carrée ou rectangulaire dont un côté au moins &gt; 36</t>
  </si>
  <si>
    <t>=t("   Papiers et cartons, des types utilisés pour écriture, impression ou autres fins graphiques, sans fibres obtenues par un procédé mécanique ou chimico-mécanique ou dont &lt;= 10% en poids de la composition fibreuse totale sont constitués par de telles f</t>
  </si>
  <si>
    <t>=t("   Papiers et cartons, des types utilisés pour écriture, impression ou autres fins graphiques, dont &gt; 10% en poids de la composition fibreuse totale sont constitués par des fibres obtenues par un procédé mécanique ou chimico-mécanique,  couché au kaol</t>
  </si>
  <si>
    <t>=t("   Papiers et cartons kraft, couchés au kaolin ou à d'autres substances inorganiques sur une ou sur les deux faces, blanchis uniformément dans la masse et dont &gt; 95% en poids de la composition fibreuse totale sont constitués par des fibres de bois obt</t>
  </si>
  <si>
    <t>=t("   Papiers et cartons kraft, couchés au kaolin ou à d'autres substances inorganiques sur une ou sur les deux faces, en rouleaux ou feuilles définis par notes 7a ou 7b de ce chapitre (sauf produits utilisés à des fins graphiques et les papiers et carto</t>
  </si>
  <si>
    <t>=t("   Papiers et cartons couchés au kaolin ou à d'autres substances inorganiques sur une ou sur les deux faces, avec ou sans liants, même coloriés en surface, décorés en surface ou imprimés, en rouleaux ou en feuilles de forme carrée ou rectangulaire, de</t>
  </si>
  <si>
    <t xml:space="preserve">=t("   Papiers et cartons, coloriés en surface, décorés en surface ou imprimés, enduits, imprégnés ou recouverts de matière plastique, blanchis, d'un poids &gt; 150 g/m², en rouleaux ou en feuilles de forme carrée ou rectangulaire, de tout format (à l'excl. </t>
  </si>
  <si>
    <t>=t("   Papiers et cartons, coloriés en surface, décorés en surface ou imprimés, enduits, imprégnés ou recouverts de matière plastique, en rouleaux ou en feuilles de forme carrée ou rectangulaire, de tout format (à l'excl. des adhésifs ainsi que des papier</t>
  </si>
  <si>
    <t>=t("   Papiers, cartons, ouate de cellulose et nappes de fibres de cellulose, couchés, enduits, imprégnés, recouverts, coloriés en surface, décorés en surface ou imprimés, en rouleaux ou en feuilles de forme carrée ou rectangulaire, de tout format (à l'ex</t>
  </si>
  <si>
    <t>=t("   PAPIERS PEINTS ET REVÊTEMENTS MURAUX SIMIL. EN PAPIER ET VITRAUPHANIES EN PAPIER (À L'EXCL. DU PAPIER DIT 'INGRAIN' AINSI QUE DES REVÊTEMENTS MURAUX CONSTITUÉS PAR DU PAPIER ENDUIT OU RECOUVERT, SUR L'ENDROIT, D'UNE COUCHE DE MATIÈRE PLASTIQUE GRAI</t>
  </si>
  <si>
    <t>=t("   Papiers dits 'autocopiants', présentés en rouleaux d'une largeur &lt;= 36 cm ou en feuilles carrées ou rectangulaires dont aucun côté &gt; 36 cm à l'état non plié, ou découpés de forme autre que carrée ou rectangulaire, même conditionnés en boîtes (à l'e</t>
  </si>
  <si>
    <t>=t("   Papiers pour duplication ou reports - présentés en rouleaux d'une largeur &lt;= 36 cm ou en feuilles carrées ou rectangulaires dont aucun côté &gt; 36 cm à l'état non plié, ou découpés de forme autre que carrée ou rectangulaire -, et plaques offset, en p</t>
  </si>
  <si>
    <t>=t("   Papiers des types utilisés pour papiers de toilette et pour papiers simil., ouate de cellulose ou nappes de fibres de cellulose, des types utilisés à des fins domestiques ou sanitaires, en rouleaux d'une largeur &lt;= 36 cm, ou coupés à format; articl</t>
  </si>
  <si>
    <t>=t("   Emballages, y.c. les pochettes pour disques, en papier, carton, ouate de cellulose ou nappes de fibres de cellulose (à l'excl. des boîtes et caisses en papier ou en carton ondulé, des boîtes et cartonnages, pliants, en papier ou en carton non ondul</t>
  </si>
  <si>
    <t>=t("   Sous-main et autres articles scolaires, de bureau ou de papeterie, en papier ou en carton, et couvertures pour livres, en papier ou en carton (sauf registres, livres comptables, carnets de notes, de commandes ou de quittances, blocs-memorandums, bl</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</si>
  <si>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</si>
  <si>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Plans et dessins d'architectes, d'ingénieurs et autres plans et dessins industriels, commerciaux, topographiques ou simil., obtenus en original à la main; textes écrits à la main; reproductions photographiques sur papier sensibilisé et copies obten</t>
  </si>
  <si>
    <t>=t("   TIMBRES-POSTE, TIMBRES FISCAUX ET ANALOGUES, NON-OBLITÉRÉS, AYANT COURS OU DESTINÉS À AVOIR COURS DANS LE PAYS DANS LEQUEL ILS ONT,  OU AURONT, UNE VALEUR FACIALE RECONNUE; PAPIER TIMBRÉ; BILLETS DE BANQUE; CHÈQUES; TITRES D'ACTIONS OU D'OBLIGATION</t>
  </si>
  <si>
    <t>=t("   Tissus de laine peignée ou de poils fins peignés, contenant en prédominance, mais &lt; 85% en poids de laine ou de poils fins (à l'excl. des tissus de laine ou de poils fins mélangés principalement ou uniquement avec des filaments synthétiques ou arti</t>
  </si>
  <si>
    <t>=t("   Tissus de coton, imprimés, contenant en prédominance, mais &lt; 85% en poids de coton, mélangés principalement ou uniquement avec des fibres synthétiques ou artificielles, d'un poids &lt;= 200 g/m² (à l'excl. des tissus à armure toile ou à armure sergé [</t>
  </si>
  <si>
    <t>=t("   Tissus de coton, écrus, contenant en prédominance, mais &lt; 85% en poids de coton, mélangés principalement ou uniquement avec des fibres synthétiques ou artificielles, d'un poids &gt; 200 g/m² (à l'excl. des tissus à armure toile ou à armure sergé [y.c.</t>
  </si>
  <si>
    <t>=t("   Tissus de coton, blanchis, contenant en prédominance, mais &lt; 85% en poids de coton, mélangés principalement ou uniquement avec des fibres synthétiques ou artificielles, d'un poids &gt; 200 g/m² (à l'excl. des tissus à armure toile ou à armure sergé [y</t>
  </si>
  <si>
    <t>=t("   Tissus de coton, imprimés, contenant en prédominance, mais &lt; 85% en poids de coton, mélangés principalement ou uniquement avec des fibres synthétiques ou artificielles, d'un poids &gt; 200 g/m² (à l'excl. des tissus à armure toile ou à armure sergé [y</t>
  </si>
  <si>
    <t>=t("   Fils simples, de filaments de nylon ou d'autres polyamides, d'une torsion &gt; 50 tours/m, non conditionnés pour la vente au détail, y.c. les monofilaments de moins de 67 décitex (à l'excl. des fils à coudre, des fils à haute ténacité et des fils text</t>
  </si>
  <si>
    <t>=t("   Tissus de fils de filaments synthétiques, y.c. les tissus obtenus à partir des monofilaments du n° 5404, constitués par des nappes de fils textiles parallélisés qui se superposent à angle aigu ou droit et sont fixées entre elles aux points de crois</t>
  </si>
  <si>
    <t>=t("   Tissus imprimés, obtenus à partir de fils de filaments synthétiques contenant en prédominance, mais &lt; 85% en poids de ces filaments, y.c. les tissus obtenus à partir des monofilaments du n° 5404 (à l'excl. des tissus mélangés principalement ou uniq</t>
  </si>
  <si>
    <t>=t("   Tissus, écrus ou blanchis, obtenus à partir de fils de filaments artificiels contenant en prédominance, mais &lt; 85% en poids de ces filaments, y.c. les tissus obtenus à partir des monofilaments du n° 5405 (à l'excl. des tissus obtenus à partir de fi</t>
  </si>
  <si>
    <t>=t("   Tissus imprimés, obtenus à partir de fils de filaments artificiels contenant en prédominance, mais &lt; 85% en poids de ces filaments, y.c. les tissus obtenus à partir des monofilaments du n° 5405 (à l'excl. des tissus obtenus à partir de fils à haute</t>
  </si>
  <si>
    <t>=t("   Fils de fibres discontinues de polyester, contenant en prédominance, mais &lt; 85% en poids de ces fibres, non conditionnés pour la vente au détail (à l'excl. des fils à coudre et des fils mélangés principalement ou uniquement avec du coton, de la lai</t>
  </si>
  <si>
    <t>=t("   Tissus, écrus ou blanchis, de fibres discontinues de polyester, contenant en prédominance, mais &lt; 85% en poids de ces fibres, mélangés principalement ou uniquement avec du coton, d'un poids &lt;= 170 g/m² (à l'excl. des tissus à armure toile ou à armu</t>
  </si>
  <si>
    <t>=t("   Tissus, écrus ou blanchis, de fibres synthétiques discontinues, contenant en prédominance, mais &lt; 85% en poids de ces fibres, mélangés principalement ou uniquement avec du coton, d'un poids &lt;= 170 g/m² (à l'excl. des tissus de fibres discontinues d</t>
  </si>
  <si>
    <t>=t("   Tissus, écrus ou blanchis, de fibres synthétiques discontinues, contenant en prédominance, mais &lt; 85% en poids de ces fibres, mélangés principalement ou uniquement avec du coton, d'un poids &gt; 170 g/m² (à l'excl. des tissus de fibres discontinues de</t>
  </si>
  <si>
    <t>=t("   Tissus, teints, de fibres discontinues de polyester, contenant en prédominance, mais &lt; 85% en poids de ces fibres, mélangés principalement ou uniquement avec du coton, d'un poids &gt; 170 g/m² (à l'excl. des tissus à armure toile ou à armure sergé [y.</t>
  </si>
  <si>
    <t>=t("   Tissus, imprimés, de fibres discontinues de polyester, contenant en prédominance, mais &lt; 85% en poids de ces fibres, mélangés principalement ou uniquement avec du coton, d'un poids &gt; 170 g/m² (à l'excl. des tissus à armure toile ou à armure sergé [</t>
  </si>
  <si>
    <t xml:space="preserve">=t("   Tissus de fibres discontinues de polyester, contenant en prédominance, mais &lt; 85% en poids de ces fibres (à l'excl. des tissus mélangés principalement ou uniquement avec de la laine ou des poils fins, des filaments synthétiques ou artificiels, des </t>
  </si>
  <si>
    <t>=t("   Tissus de fibres discontinues acryliques ou modacryliques, contenant en prédominance, mais &lt; 85% en poids de ces fibres (à l'excl. des tissus mélangés principalement ou uniquement avec de la laine ou des poils fins, des filaments synthétiques ou ar</t>
  </si>
  <si>
    <t>=t("   Tissus de fibres synthétiques discontinues, contenant en prédominance, mais &lt; 85% en poids de ces fibres, mélangés principalement ou uniquement avec des filaments synthétiques ou artificiels (à l'excl. des tissus de fibres discontinues acryliques o</t>
  </si>
  <si>
    <t>=t("   Tissus de fibres synthétiques discontinues, contenant en prédominance, mais &lt; 85% en poids de ces fibres (à l'excl. des tissus de fibres discontinues acryliques ou modacryliques ou de fibres discontinues de polyester ainsi que des tissus mélangés p</t>
  </si>
  <si>
    <t>=t("   Tissus, imprimés, de fibres artificielles discontinues, contenant en prédominance, mais &lt; 85% en poids de ces fibres (à l'excl. des tissus mélangés principalement ou uniquement avec de la laine ou des poils fins, des filaments synthétiques ou artif</t>
  </si>
  <si>
    <t xml:space="preserve">=t("   Ouates de coton et articles en ces ouates (sauf serviettes et tampons hygiéniques, couches pour bébés et articles hygiéniques simil., produits imprégnés ou recouverts de substances pharmaceutiques ou conditionnés pour la vente au détail à des fins </t>
  </si>
  <si>
    <t>=t("   Ouates de fibres synthétiques ou artificielles et articles en ces ouates (sauf serviettes et tampons hygiéniques, couches pour bébés et articles hygiéniques simil., produits imprégnés ou recouverts de substances pharmaceutiques ou conditionnés pour</t>
  </si>
  <si>
    <t>=t("   Ouates de matières textiles et artificielles en ces ouates (sauf produits en coton ou fibres synthétiques ou artificielles; serviettes et tampons hygiéniques; couches pour bébés et articles hygiéniques simil.; produits imprégnés ou recouverts de su</t>
  </si>
  <si>
    <t xml:space="preserve">=t("   Filets à mailles nouées, en nappes ou en pièces, obtenus à partir de ficelles, cordes ou cordages; filets confectionnés, en matières textiles synthétiques ou artificielles (à l'excl. des filets confectionnés pour la pêche, des résilles et filets à </t>
  </si>
  <si>
    <t>=t("   Filets à mailles nouées, en nappes ou en pièces, obtenus à partir de ficelles, cordes ou cordages; filets confectionnés pour la pêche et autres filets confectionnés, en matières textiles végétales (à l'excl. des filets et résilles à cheveux ainsi q</t>
  </si>
  <si>
    <t>=t("   Tapis et autres revêtements de sol, de matières textiles végétales ou de poils grossiers, tissés, non touffetés ni floqués, à velours, non confectionnés (à l'excl. des revêtements de sol en coco et des tapis dits 'kelim', 'kilim', 'schumacks', 'sou</t>
  </si>
  <si>
    <t xml:space="preserve">=t("   TAPIS ET AUTRES REVÊTEMENTS DE SOL, DE MATIÈRES SYNTHÉTIQUES OU ARTIFICIELLES, TISSÉS, NON-TOUFFETÉS NI FLOQUÉS, À VELOURS, CONFECTIONNÉS (À L'EXCL. DES TAPIS DITS 'KELIM', 'KILIM', 'SCHUMACKS', 'SOUMAK' OU 'KARAMANIE' ET DES TAPIS SIMIL. TISSÉS À </t>
  </si>
  <si>
    <t>=t("   TAPIS ET AUTRES REVÊTEMENTS DE SOL, DE MATIÈRES TEXTILES SYNTHÉTIQUES OU ARTIFICIELLES, TISSÉS, NON-TOUFFETÉS NI FLOQUÉS, SANS VELOURS, CONFECTIONNÉS (À L'EXCL. DES TAPIS DITS 'KELIM', 'KILIM', 'SCHUMACKS', 'SOUMAK' OU 'KARAMANIE' ET DES TAPIS SIMI</t>
  </si>
  <si>
    <t>=t("   Tapis et autres revêtements de sol, de matières textiles végétales ou de poils grossiers, tissés, non touffetés ni floqués, sans velours, confectionnés (à l'excl. des revêtements de sol en coco ainsi que des tapis dits 'kelim', 'kilim', 'schumacks'</t>
  </si>
  <si>
    <t>=t("   Rubanerie, tisséé, en matières textiles, contenant en poids &gt;= 5% de fils d'élastomères ou de fils de caoutchouc (autre que rubanerie de velours, de peluches, de tissus de chenille ou de tissus bouclés du genre éponge ainsi que les étiquettes, écus</t>
  </si>
  <si>
    <t>=t("   PRODUITS TEXTILES MATELASSÉS EN PIÈCES, CONSTITUÉS D'UNE OU PLUSIEURS COUCHES DE MATIÈRES TEXTILES ASSOCIÉES À UNE MATIÈRE DE REMBOURRAGE PAR PIQ¹RE, CAPITONNAGE OU AUTRE CLOISONNEMENT (À L'EXCL. DES BRODERIES DU N° 5810 AINSI QUE DES ARTICLES DE L</t>
  </si>
  <si>
    <t>=t("   Tissus imprégnés, enduits ou recouverts de matières plastiques autres que poly[chlorure de vinyle] ou polyuréthanne ou stratifiés avec des matières plastiques autres que poly[chlorure de vinyle] ou polyuréthanne (sauf nappes tramées pour pneumatiqu</t>
  </si>
  <si>
    <t>=t("   Tissus caoutchoutés (à l'excl. des tissus de bonneterie, des rubans adhésifs d'une largeur &lt;= 20 cm et des nappes tramées pour pneumatiques obtenues à partir de fils à haute ténacité de nylon ou d'autres polyamides, de polyesters ou de rayonnne vis</t>
  </si>
  <si>
    <t>=t("   Mèches tissées, tressées ou tricotées, en matières textiles, pour lampes, réchauds, briquets, bougies ou simil.; manchons à incandescence et étoffes tubulaires tricotées servant à leur fabrication, même imprégnés (à l'excl. des mèches recouvertes d</t>
  </si>
  <si>
    <t xml:space="preserve">=t("   TISSUS, FEUTRES ET TISSUS DOUBLÉS DE FEUTRE, COMBINÉS AVEC UNE OU PLUSIEURS COUCHES DE CAOUTCHOUC, DE CUIR OU D'AUTRES MATIÈRES, DES TYPES UTILISÉS POUR LA FABRICATION DE GARNITURES DE CARDÉS, ET PRODUITS ANALOGUES POUR D'AUTRES USAGES TECHNIQUES, </t>
  </si>
  <si>
    <t>=t("   ETOFFES DE BONNETERIE D'UNE LARGEUR &lt;= 30 CM, À TENEUR EN FILS D'ÉLASTOMÈRES ET DE CAOUTCHOUC OU UNIQUEMENT DE CAOUTCHOUC &gt;= 5% EN POIDS (À L'EXCL. DES VELOURS, PELUCHES, Y.C. LES ÉTOFFES DITES 'À LONGS POILS', ÉTOFFES À BOUCLES EN BONNETERIE, ÉTIQ</t>
  </si>
  <si>
    <t>=t("   Etoffes de bonneterie-chaîne, y.c. celles fabriquées sur métiers à galonner, d'une largeur &gt; 30 cm, de coton, teintes (à l'excl. de celles contenant en poids &gt;= 5% de fils d'élastomères ou de fils de caoutchouc ainsi que des velours, peluches, y.c.</t>
  </si>
  <si>
    <t>=t("   Etoffes de bonneterie-chaîne, y.c. celles fabriquées sur métiers à galonner, d'une largeur &gt; 30 cm, de coton, en fils de diverses couleurs (à l'excl. de celles contenant en poids &gt;= 5% de fils d'élastomères ou de fils de caoutchouc ainsi que des ve</t>
  </si>
  <si>
    <t xml:space="preserve">=t("   Etoffes de bonneterie, d'une largeur &gt; 30 cm (sauf de fibres synthétiques ou artificielles, coton, laine ou poils fins, étoffes de bonneterie-chaîne, y.c. celles fabriquées sur métiers à galonner, et à l'excl. de celles contenant en poids &gt;= 5% de </t>
  </si>
  <si>
    <t xml:space="preserve">=t("   MANTEAUX, CABANS, CAPES, ANORAKS, BLOUSONS ET ARTICLES SIMIL., EN BONNETERIE, DE MATIÈRES TEXTILES, POUR HOMMES ET GARÇONNETS (SAUF DE COTON, FIBRES SYNTHÉTIQUES OU ARTIFICIELLES ET SAUF COSTUMES OU COMPLETS, ENSEMBLES, VESTES, VESTONS, BLAZERS ET </t>
  </si>
  <si>
    <t>=t("   Manteaux, cabans, capes, anoraks, blousons et articles simil., en bonneterie, de matières textiles, pour femmes ou fillettes (sauf de laine, poils fins, coton, fibres synthétiques ou artificielles et sauf costumes tailleurs, ensembles, vestes, blaz</t>
  </si>
  <si>
    <t>=t("   PANTALONS, Y.C. KNICKERS ET PANTALONS SIMIL., ET CULOTTES, SALOPETTES À BRETELLES ET SHORTS, EN BONNETERIE, DE MATIÈRES TEXTILES, POUR FEMMES OU FILLETTES (SAUF DE LAINE, POILS FINS, COTON, FIBRES SYNTHÉTIQUES ET SAUF SLIPS ET MAILLOTS, CULOTTES ET</t>
  </si>
  <si>
    <t>=t("   Déshabillés, peignoirs de bain, robes de chambre et articles simil., en bonneterie, de coton, pour femmes ou fillettes (sauf gilets de corps, combinaisons et fonds de robe, jupons, slips et culottes, chemises de nuit, pyjamas, soutiens-gorge, gaine</t>
  </si>
  <si>
    <t>=t("   Déshabillés, peignoirs de bain, robes de chambre et articles simil., en bonneterie, de matières textiles, pour femmes ou fillettes (sauf de coton ou fibres synthétiques ou artificielles et sauf gilets de corps, combinaisons et fonds de robe, jupons</t>
  </si>
  <si>
    <t>=t("   Bas et mi-bas de femmes, en bonneterie, titre en fils simples &lt; 67 décitex (sauf collants "bas-culottes")")</t>
  </si>
  <si>
    <t>=t("   BAS ET MI-BAS, CHAUSSETTES ET AUTRES ARTICLES CHAUSSANTS, Y.C. LES BAS À VARICES, EN BONNETERIE, DE MATIÈRES TEXTILES (AUTRES QUE LAINE, POILS FINS, COTON, FIBRES SYNTHÉTIQUES ET SAUF COLLANTS 'BAS-CULOTTES' BAS ET MI-BAS POUR FEMMES À TITRE &lt; 67 D</t>
  </si>
  <si>
    <t>=t("   Anoraks, blousons et articles simil., de matières textiles, pour hommes ou garçonnets (autres que laine, poils fins, coton, fibres synthétiques ou artificielles et à l'excl. des articles en bonneterie et des costumes ou complets, ensembles, vestes,</t>
  </si>
  <si>
    <t>=t("   ANORAKS, BLOUSONS ET ARTICLES SIMIL., DE COTON, POUR FEMMES OU FILLETTES (À L'EXCL. DES ARTICLES EN BONNETERIE ET DES COSTUMES TAILLEURS, ENSEMBLES, VESTES, BLAZERS, PANTALONS ET PARTIES SUPÉRIEURES DES ENSEMBLES DE SKI) [01/01/1988-31/12/1991: ANO</t>
  </si>
  <si>
    <t>=t("   Anoraks, blousons et articles simil., de matières textiles, pour femmes ou fillettes (autres que laine, poils fins, coton, fibres synthétiques ou artificielles et à l'excl. des articles en bonneterie et des costumes tailleurs, ensembles, vestes, bl</t>
  </si>
  <si>
    <t>=t("   Costumes ou complets, de matières textiles, pour hommes ou garçonnets (autres que laine, poils fins ou fibres synthétiques, autres qu'en bonneterie et sauf survêtements de sport 'trainings', combinaisons et ensembles de ski, maillots, culottes et s</t>
  </si>
  <si>
    <t>=t("   Pantalons, y.c. knickers et pantalons simil., salopettes à bretelles, culottes et shorts, de matières textiles, pour hommes ou garçonnets (autres que laine, poils fins, coton ou fibres synthétiques, autres qu'en bonneterie et sauf slips et caleçons</t>
  </si>
  <si>
    <t xml:space="preserve">=t("   Pantalons, y.c. knickers et pantalons simil., salopettes à bretelles, culottes et shorts, de matières textiles, pour femmes ou fillettes (autres que de laine, poils fins, coton, fibres synthétiques ou artificielles, autres qu'en bonneterie et sauf </t>
  </si>
  <si>
    <t>=t("   Chemisiers, blouses, blouses-chemisiers et chemisettes, de matières textiles, pour femmes ou fillettes (autres que de laine, poils fins, coton, fibres synthétiques ou artificielles, soie et déchets de soie, autres qu'en bonneterie et sauf gilets de</t>
  </si>
  <si>
    <t>=t("   Gilets de corps, chemises de jour, slips, déshabillés, peignoirs de bain, robes de chambre et articles simil., de coton, pour femmes ou fillettes (autres qu'en bonneterie et sauf combinaisons ou fonds de robes, jupons, chemises de nuit, pyjamas, so</t>
  </si>
  <si>
    <t>=t("   Gilets de corps, chemises de jour, slips, déshabillés, peignoirs de bain, robes de chambre et articles simil., de matières textiles, pour femmes ou fillettes (autres que de coton, fibres synthétiques ou artificielles, autres qu'en bonneterie et sau</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</si>
  <si>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</si>
  <si>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</si>
  <si>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Corsets, bretelles, jarretelles, jarretières et simil. et leurs parties, y.c. parties de soutiens-gorge, gaines, gaines-culottes et combinés, en tous types de matières textiles, même élastiques et même en bonneterie (sauf soutiens-gorge, gaines, ga</t>
  </si>
  <si>
    <t>=t("   Couvertures de matières textiles (autres que de laine ou poils fins, coton ou fibres synthétiques et que chauffantes électriques et sauf linge de table, couvre-lits, linge de lit et les articles simil. du n° 9404 [sommiers et autres articles de lit</t>
  </si>
  <si>
    <t xml:space="preserve">=t("   Articles d'ameublement en bonneterie (sauf couvertures, linge de lit, linge de table, linge de toilette et de cuisine, vitrages, rideaux, stores d'intérieur, cantonnières et tours de lit, couvre-lits, abat-jour et les articles du n° 9404 [sommiers </t>
  </si>
  <si>
    <t>=t("   Articles d'ameublement, de matières textiles (autres que de coton ou fibres synthétiques, autres qu'en bonneterie et sauf couvertures, linge de lit, linge de table, linge de toilette et de cuisine, vitrages, rideaux, stores d'intérieur, cantonnière</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</si>
  <si>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</si>
  <si>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étanches, à semelles extérieures et dessus en caoutchouc ou en matière plastique, dont le dessus n'a été ni réuni à la semelle extérieure par couture ou par rivets, clous, vis, tétons ou dispositifs simil., ni formé de différentes partie</t>
  </si>
  <si>
    <t xml:space="preserve">=t("   CHAUSSURES ÉTANCHES, À SEMELLES EXTÉRIEURES ET DESSUS EN CAOUTCHOUC OU EN MATIÈRE PLASTIQUE, DONT LE DESSUS N'A ÉTÉ NI RÉUNI À LA SEMELLE EXTÉRIEURE PAR COUTURE OU PAR RIVETS, CLOUS OU DISPOSITIFS SIMIL., NI FORMÉ DE DIFFÉRENTES PARTIES ASSEMBLÉES </t>
  </si>
  <si>
    <t>=t("   Chaussures de sport à semelles extérieures et dessus en caoutchouc ou en matière plastique (sauf chaussures étanches du n° 6401, chaussures de ski, chaussures pour le surf des neiges et chaussures auxquelles sont fixés des patins à glace ou à roule</t>
  </si>
  <si>
    <t xml:space="preserve">=t("   Chaussures à semelles extérieures et dessus en caoutchouc ou en matières plastiques, comportant à l'avant, une coquille de protection en métal (sauf chaussures étanches à semelles extérieures et dessus en caoutchouc ou matières plastiques, dont le </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</si>
  <si>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</si>
  <si>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de sport à semelles extérieures en caoutchouc, matière plastique, cuir naturel ou reconstitué et dessus en cuir naturel (sauf chaussures de ski, chaussures pour le surf des neiges et chaussures auxquelles sont fixés des patins à glace ou</t>
  </si>
  <si>
    <t>=t("   CHAUSSURES À SEMELLES EXTÉRIEURES ET DESSUS EN CUIR NATUREL (NE COUVRANT PAS LA CHEVILLE, SANS COQUILLE DE PROTECTION EN MÉTAL À L'AVANT ET À L'EXCL. DES CHAUSSURES À DESSUS EN LANIÈRES DE CUIR NATUREL PASSANT SUR LE COU-DE-PIED ET ENTOURANT LE GRO</t>
  </si>
  <si>
    <t>=t("   Chaussures à semelles extérieures en caoutchouc, matière plastique ou cuir reconstitué, à dessus en cuir naturel, couvrant la cheville (sauf avec coquille de protection en métal à l'avant et sauf chaussures de sport, d'orthopédie ou ayant le caract</t>
  </si>
  <si>
    <t>=t("   CHAUSSURES À SEMELLES EXTÉRIEURES EN CAOUTCHOUC, MATIÈRE PLASTIQUE OU CUIR RECONSTITUÉ, À DESSUS EN CUIR NATUREL (NE COUVRANT PAS LA CHEVILLE, SANS COQUILLE DE PROTECTION EN MÉTAL À L'AVANT ET SAUF CHAUSSURES DE SPORT, D'ORTHOPÉDIE OU AYANT LE CARA</t>
  </si>
  <si>
    <t>=t("   Chaussures à semelles extérieures en caoutchouc ou en matière plastique et à dessus en matières textiles (sauf chaussures de sport, y.c. chaussures dites de tennis, de basket-ball, de gymnastique, d'entraînement et chaussures simil. ainsi que chaus</t>
  </si>
  <si>
    <t>=t("   CHAUSSURES À SEMELLES EXTÉRIEURES EN CAOUTCHOUC OU EN MATIÈRE PLASTIQUE ET À DESSUS EN AUTRES MATIÈRES QUE CAOUTCHOUC, MATIÈRE PLASTIQUE, CUIR OU MATIÈRES TEXTILES; CHAUSSURES À SEMELLES EXTÉRIEURES EN CUIR NATUREL OU RECONSTITUÉ ET À DESSUS EN D'A</t>
  </si>
  <si>
    <t>=t("   Chapeaux et autres coiffures en bonneterie ou confectionnés à l'aide de dentelles, feutre ou autres produits textiles, en pièces -mais non en bandes-, même garnis (sauf résilles, filets à cheveux et coiffures pour animaux ou ayant le caractère de j</t>
  </si>
  <si>
    <t>=t("   BONNETS DE BAIN, CAPUCHONS ET AUTRES COIFFURES, MÊME GARNIS, EN CAOUTCHOUC OU EN MATIÈRE PLASTIQUE (À L'EXCL. DES COIFFURES DE SÉCURITÉ ET DES COIFFURES AYANT LE CARACTÈRE DE JOUETS OU D'ARTICLES DE CARNAVAL) [01/01/1988-31/12/1994: BONNETS DE BAIN</t>
  </si>
  <si>
    <t>=t("   Carreaux, cubes, dés et autres pierres naturelles travaillées, y.c. l'ardoise, pour mosaïques et ouvrages analogues, même de forme autre que carrée ou rectangulaire, dont la plus grande surface peut être inscrite dans un carré de côté &lt; 7 cm; granu</t>
  </si>
  <si>
    <t>=t("   Marbre, travertin et albâtre, ouvrages en ces pierres, simplement taillés ou sciés et à surface plane ou unie (sauf à surface entièrement ou partiellement rabotée, poncée au papier sablé, grossièrement ou finement meulée ou polie; non du n° 6801.00</t>
  </si>
  <si>
    <t>=t("   Pierres de taille ou de construction, naturelles, autres que les pierres calcaires, le granit et l'ardoise et ouvrages en ces pierres, simplement taillées ou sciées et à surface plane ou unie (sauf à surface entièrement ou partiellement rabotée, po</t>
  </si>
  <si>
    <t>=t("   Marbre, travertin et albâtre de n'importe quelle forme, polis, décorés ou autrement travaillés (sauf ouvrages du n° 6801.00.00 ou 6802.10.00; bijoux de fantaisie; pendules et articles d'horlogerie, appareils d'éclairage et leurs parties; boutons; o</t>
  </si>
  <si>
    <t>=t("   PIERRES DE TAILLE OU DE CONSTRUCTION, NATURELLES, AUTRES QUE LES PIERRES CALCAIRES, LE GRANIT, L'ARDOISE, DE N'IMPORTE QUELLE FORME, POLIES, DÉCORÉES OU AUTREMENT TRAVAILLÉES (SAUF OUVRAGES DU 6802.10; ARTICLES EN BASALTE FONDU OU EN STÉATITE CÉRAM</t>
  </si>
  <si>
    <t>=t("   Ardoise naturelle travaillée et ouvrages en ardoise naturelle ou agglomérée -ardoisine- (sauf grains, granulés, éclats et poudres d'ardoises; pierres pour mosaïques et analogues; crayons d'ardoise, tableaux en ardoise prêts à l'emploi et ardoises p</t>
  </si>
  <si>
    <t xml:space="preserve">=t("   Meules et articles simil., sans bâtis, à aiguiser, polir, rectifier, trancher ou tronçonner en diamants naturels ou synthétiques agglomérés (sauf pierres à aiguiser ou à polir à la main et sauf meules, etc. spécialement travaillées pour fraises de </t>
  </si>
  <si>
    <t>=t("   Meules et articles simil., sans bâtis, à broyer, aiguiser, polir, rectifier, trancher ou tronçonner, en abrasifs agglomérés ou en céramique (sauf diamants naturels ou synthétiques agglomérés et sauf pierres à aiguiser ou à polir à la main, la pierr</t>
  </si>
  <si>
    <t xml:space="preserve">=t("   Meules et articles simil., sans bâtis, à broyer, aiguiser, polir, rectifier, trancher ou tronçonner, en pierres naturelles (sauf en abrasifs naturels agglomérés ou en céramique, sauf la pierre ponce parfumée et sauf pierres à aiguiser et à polir à </t>
  </si>
  <si>
    <t>=t("   Mélanges et ouvrages en matières minérales à usage d'isolants thermiques ou sonores ou pour l'absorption du son (sauf laines de laitier, de scories, de roche et laines minérales simil.; vermiculite expansée, argile expansée, mousse de scories et pr</t>
  </si>
  <si>
    <t>=t("   Panneaux, planches, carreaux, blocs et articles simil., en fibres végétales, en paille ou en copeaux, plaquettes, particules, sciures ou autres déchets de bois, agglomérés avec du ciment, du plâtre ou d'autres liants minéraux (sauf articles en amia</t>
  </si>
  <si>
    <t xml:space="preserve">=t("   Planches, plaques, panneaux, carreaux et articles simil., en plâtre ou en compositions à base de plâtre, non ornementés (sauf revêtus ou renforcés de papier ou de carton uniquement et sauf ouvrages à liaison en plâtre à usage d'isolants thermiques </t>
  </si>
  <si>
    <t>=t("   Ouvrages en plâtre ou en compositions à base de plâtre (sauf plâtre en bandes et attelles en plâtre pour le traitement de fractures des os; cloisons légères ou ouvrages à usage d'isolants thermiques ou sonores ou pour l'absorption du son, à liaison</t>
  </si>
  <si>
    <t>=t("   GARNITURES DE FRICTION [P.EX. PLAQUES, ROULEAUX, BANDES, SEGMENTS, DISQUES, RONDELLES, PLAQUETTES], POUR EMBRAYAGES OU AUTRES ORGANES DE FROTTEMENT, À BASE D'AMIANTE, D'AUTRES SUBSTANCES MINÉRALES OU DE CELLULOSE, MÊME COMBINÉES À DES MATIÈRES TEXT</t>
  </si>
  <si>
    <t xml:space="preserve">=t("   MICA TRAVAILLÉ ET OUVRAGES EN MICA (SAUF ISOLATEURS, PIÈCES ISOLANTES, RÉSISTANCES ET CONDENSATEURS ÉLECTRIQUES; LUNETTES DE PROTECTION EN MICA ET VERRE À CET EFFET; MICA SOUS FORME DE DÉCORATIONS POUR SAPIN DE NOÙL; PLAQUES, FEUILLES OU BANDES EN </t>
  </si>
  <si>
    <t>=t("   Briques, dalles, carreaux et pièces céramiques de construction analogues, réfractaires, teneur en poids en alumine -Al2O3-, silice SiO2, ou un mélange ou combinaison de ces matières &gt; 50% (autres que ceux en farines siliceuses fossiles ou en terres</t>
  </si>
  <si>
    <t>=t("   Briques, dalles, carreaux et pièces céramiques de construction analogues, réfractaires (autres qu'avec une teneur en poids en éléments Mg, Ca ou Cr pris isolément ou ensemble et exprimés en MgO, CaO ou Cr2O3 &gt; 50% ou avec une teneur en poids en alu</t>
  </si>
  <si>
    <t>=t("   Cornues, creusets, moufles, busettes, tampons, supports, coupelles, tubes, tuyaux, gaines et autres articles céramiques réfractaires à teneur en poids en graphite ou en autre carbone, même mélangés &gt; 50% (sauf briques, dalles, carreaux et pièces cé</t>
  </si>
  <si>
    <t>=t("   Cornues, creusets, moufles, busettes, tampons, supports, coupelles, tubes, tuyaux, gaines et autres articles céramiques réfractaires (sauf produits en farines siliceuses fossiles ou en terres siliceuses analogues; briques, dalles, carreaux et pièce</t>
  </si>
  <si>
    <t>=t("   Hourdis, cache-poutrelles et articles simil. en céramique (sauf produits en farines siliceuses fossiles ou en terres siliceuses analogues, sauf les briques réfractaires du n° 6902, les carreaux, pavés en pierre calcinée, les dalles de pavement et d</t>
  </si>
  <si>
    <t>=t("   Tuiles, éléments de cheminée, conduits de fumée, ornements architectoniques et autres poteries de bâtiment, en céramique (autres qu'en farines siliceuses fossiles ou en terres siliceuses analogues, sauf pièces céramiques de construction et sauf tuy</t>
  </si>
  <si>
    <t xml:space="preserve">=t("   CARREAUX ET DALLES DE PAVEMENT ET DE REVÊTEMENT, EN CÉRAMIQUE, NON-VERNISSÉS NI ÉMAILLÉS (SAUF ARTICLES EN FARINES SILICEUSES FOSSILES OU EN TERRES SILICEUSES ANALOGUES, ARTICLES CÉRAMIQUES RÉFRACTAIRES, CARREAUX SERVANT DE DESSOUS-DE-PLAT, OBJETS </t>
  </si>
  <si>
    <t>=t("   Carreaux et dalles de pavement ou de revêtement, en céramique, vernissés ou émaillés (sauf articles en farines siliceuses fossiles ou en terres siliceuses analogues, articles céramiques réfractaires, carreaux servant de dessous-de-plat, objets d'or</t>
  </si>
  <si>
    <t>=t("   Appareils et articles en céramique, pour usages chimiques ou autres usages techniques (autres qu'en porcelaine et sauf articles ayant une dureté équivalente à 9 ou davantage sur l'échelle de Mohs, meules, pierres à polir et à aiguiser et autres art</t>
  </si>
  <si>
    <t xml:space="preserve">=t("   ÉVIERS, LAVABOS, COLONNES DE LAVABOS, BAIGNOIRES, BIDETS, CUVETTES D'AISANCE, RÉSERVOIRS DE CHASSE, URINOIRS ET APPAREILS FIXES SIMIL. POUR USAGES SANITAIRES, EN PORCELAINE (SAUF PORTE-SAVON, PORTE-ÉPONGE, PORTE-BROSSE À DENTS, PORTE-SERVIETTES ET </t>
  </si>
  <si>
    <t>=t("   ÉVIERS, LAVABOS, COLONNES DE LAVABOS, BAIGNOIRES, BIDETS, CUVETTES D'AISANCE, RÉSERVOIRS DE CHASSE, URINOIRS ET APPAREILS FIXES SIMIL. POUR USAGES SANITAIRES EN CÉRAMIQUE (AUTRES QU'EN PORCELAINE ET SAUF PORTE-SAVON, PORTE-ÉPONGE, PORTE-BROSSE À DE</t>
  </si>
  <si>
    <t>=t("   Articles pour le service de la table ou de la cuisine en porcelaine (sauf objets d'ornementation; cruchons, cornues et récipients simil. de transport ou d'emballage; moulins à café et moulins à épices avec récipient en céramique et élément de trava</t>
  </si>
  <si>
    <t>=t("   Vaisselle et autres articles de ménage ou d'économie domestique et articles d'hygiène et de toilette en porcelaine (sauf articles pour le service de table ou de cuisine; baignoires, éviers et autres appareils fixes simil.; statuettes et autres obje</t>
  </si>
  <si>
    <t>=t("   Vaisselle, autres articles de ménage ou d'économie domestique et articles d'hygiène ou de toilette en céramique, autres que la porcelaine (sauf baignoires, bidets, éviers et autres appareils fixes simil.; statuettes et autres objets d'ornementation</t>
  </si>
  <si>
    <t>=t("   PLAQUES OU FEUILLES EN GLACE [VERRE FLOTTÉ ET VERRE DOUCI ET POLI SUR UNE OU DEUX FACES], NON AUTREMENT TRAVAILLÉE (AUTRE QU'ARMÉE, COLORÉE DANS LA MASSE, OPACIFIÉE, PLAQUÉE [DOUBLÉE] OU SIMPL. DOUCIE, OU À COUCHE ABSORBANTE, RÉFLÉCHISSANTE OU NON-</t>
  </si>
  <si>
    <t xml:space="preserve">=t("   PLAQUES, FEUILLES OU PROFILÉS EN VERRE, MÊME À COUCHE ABSORBANTE, RÉFLÉCHISSANTE OU NON-RÉFLÉCHISSANTE, COURBÉ, BISEAUTÉ, GRAVÉ, PERCÉ, ÉMAILLÉ OU AUTREMENT TRAVAILLÉ MAIS NON-ENCADRÉ NI ASSOCIÉ À D'AUTRES MATIÈRES (SAUF VERRE DE SÉCURITÉ, VITRAGE </t>
  </si>
  <si>
    <t>=t("   VERRES TREMPÉS (À L'EXCL. DES VERRES DE LUNETTERIE OU D'HORLOGERIE AINSI QUE DES VERRES DE DIMENSIONS ET FORMATS PERMETTANT LEUR EMPLOI DANS LES AUTOMOBILES, VÉHICULES AÉRIENS, BATEAUX OU AUTRES VÉHICULES) [01/01/1988-31/12/1988: VERRES TREMPES, -D</t>
  </si>
  <si>
    <t>=t("   VERRES FORMÉS DE FEUILLES CONTRECOLLÉES, DE DIMENSIONS ET FORMATS PERMETTANT LEUR EMPLOI DANS LES AUTOMOBILES, VÉHICULES AÉRIENS, BATEAUX OU AUTRES VÉHICULES (À L'EXCL. DES VITRAGES ISOLANTS À PAROIS MULTIPLES) [01/01/1988-31/12/1988: PARE-BRISE FO</t>
  </si>
  <si>
    <t>=t("   VERRE FORMÉ DE FEUILLES CONTRECOLLÉES, DE SÉCURITÉ (AUTRES QUE DES DIMENSIONS ET FORMES PERMETTANT SON EMPLOI DANS LES VÉHICULES AUTOMOBILES, VÉHICULES AÉRIENS, BATEAUX OU AUTRES VÉHICULES ET SAUF VITRAGE ISOLANT À PAROIS MULTIPLES) [01/01/1988-31/</t>
  </si>
  <si>
    <t>=t("   Bonbonnes, bouteilles, flacons, bocaux, pots, emballages tubulaires et autres récipients en verre pour le transport ou l'emballage commercial et bocaux à conserves en verre (sauf ampoules, bouteilles isolantes et récipients dont l'isolation est ass</t>
  </si>
  <si>
    <t>=t("   BONBONNES, BOUTEILLES, FLACONS, BOCAUX, POTS, EMBALLAGES TUBULAIRES ET AUTRES RÉCIPIENTS EN VERRE POUR LE TRANSPORT OU L'EMBALLAGE COMMERCIAL ET BOCAUX A CONSERVES EN VERRE, D'UNE CONTENANCE &gt; 0,33 L MAIS &lt;= 1 L (SAUF AMPOULES, BOUTEILLES ISOLANTES</t>
  </si>
  <si>
    <t>=t("   BONBONNES, BOUTEILLES, FLACONS, BOCAUX, POTS, EMBALLAGES TUBULAIRES ET AUTRES RÉCIPIENTS EN VERRE POUR LE TRANSPORT OU L'EMBALLAGE COMMERCIAL ET BOCAUX A CONSERVES EN VERRE, D'UNE CONTENANCE &lt;= 0,15 L (SAUF AMPOULES, BOUTEILLES ISOLANTES ET RÉCIPIE</t>
  </si>
  <si>
    <t>=t("   Objets en vitrocérame, pour le service de la table, pour la cuisine, la toilette, le bureau, la décoration intérieure ou usages simil. (autres que les perles de verre et articles simil. de verroterie du n° 7018 et sauf les plaques de cuisson, les v</t>
  </si>
  <si>
    <t>=t("   Objets en verre, pour le service de la table ou pour la cuisine (autres qu'à coefficient de dilatation linéaire &lt;= 5 x 10-6 par kelvin entre 0°C et 300°C, sauf articles en vitrocérame ou en cristal au plomb, perles de verre et articles simil. de ve</t>
  </si>
  <si>
    <t>=t("   OBJETS EN VERRE, POUR LE SERVICE DE LA TABLE OU POUR LA CUISINE (AUTRES QU'À COEFFICIENT DE DILATATION LINÉAIRE &lt;= 5 X 10-6 PAR KELVIN ENTRE 0°C ET 300°C, SAUF ARTICLES EN VITROCÉRAME OU EN CRISTAL AU PLOMB, PERLES DE VERRE ET ARTICLES SIMIL. DE VE</t>
  </si>
  <si>
    <t>=t("   Objets en cristal au plomb pour la toilette, le bureau, la décoration intérieure et usages simil. (autres que pour le service de la table ou pour la cuisine, autres que les perles en verre et articles simil. de verroterie du n° 7018 et sauf miroirs</t>
  </si>
  <si>
    <t>=t("   Objets en verre pour la toilette, le bureau, la décoration intérieure et usages simil. (autres qu'en cristal au plomb et autres que pour le service de la table ou pour la cuisine, autres que les perles en verre et articles simil. de verroterie du n</t>
  </si>
  <si>
    <t>=t("   Pavés, briques, carreaux, tuiles et autres articles, en verre pressé ou moulé, même armé, pour le bâtiment ou la construction; verres assemblés en vitraux; verre -multicellulaire- ou verre -mousse- en blocs, panneaux, plaques, coquilles ou formes s</t>
  </si>
  <si>
    <t>=t("   Verrerie de laboratoire, d'hygiène ou de pharmacie, même graduée ou jaugée, en quartz ou en autre silice fondus (sauf récipients de transport ou d'emballage et sauf instruments, appareils et matériel de mesure ou de contrôle, et instruments, appare</t>
  </si>
  <si>
    <t>=t("   Verrerie de laboratoire, d'hygiène ou de pharmacie, même graduée ou jaugée, en verre d'un coefficient de dilatation linéaire &lt;= 5 x 10-6 par kelvin entre 0°C et 300°C (sauf en quartz ou en autre silice fondus, sauf récipients de transport ou d'emba</t>
  </si>
  <si>
    <t>=t("   Verrerie de laboratoire, d'hygiène ou de pharmacie, même graduée ou jaugée (sauf en verre à coefficient de dilatation linéaire &lt;= 5 x 10-6 par kelvin entre 0°C et 300°C, ou en quartz ou autres silices fondus, sauf récipients de transport ou d'embal</t>
  </si>
  <si>
    <t xml:space="preserve">=t("   Perles de verre, imitations de perles fines ou de culture, imitations de pierres gemmes et articles simil. de verroterie et leurs ouvrages (autres que la bijouterie de fantaisie); yeux en verre (autres que de prothèse); statuettes et autres objets </t>
  </si>
  <si>
    <t>=t("   FIBRES DE VERRE, Y.C. LA LAINE DE VERRE, ET OUVRAGES EN CES MATIÈRES (SAUF FIBRES DISCONTINUES; STRATIFILS 'ROVINGS', MÈCHES ET FILS; LAINE DE VERRE COUPÉE; TISSUS, Y.C. LES RUBANS; VOILES, MATS, NAPPES, PANNEAUX ET PRODUITS SIMIL. NON-TISSÉS; LAIN</t>
  </si>
  <si>
    <t>=t("   Articles d'orfèvrerie et leurs parties, en plaqués ou doublés de métaux précieux sur métaux communs (à l'excl. des articles de bijouterie ou de joaillerie, des articles d'horlogerie, instruments de musique, armes, pulvérisateurs de parfum et leur t</t>
  </si>
  <si>
    <t>=t("   DÉCHETS ET DÉBRIS DE FER OU D'ACIER [FERRAILLES] (SAUF DÉCHETS ET DÉBRIS RADIOACTIFS ET DE PILES, DE BATTERIES DE PILES ET D'ACCUMULATEURS ÉLECTRIQUES; SCORIES, LAITIERS ET AUTRES DÉCHETS DE LA FABRICATION DU FER OU DE L'ACIER; MORCEAUX PROVENANT D</t>
  </si>
  <si>
    <t>=t("   PRODUITS LAMINÉS PLATS, EN FER OU EN ACIERS NON-ALLIÉS, D'UNE LARGEUR &gt;= 600 MM, LAMINÉS À CHAUD OU À FROID, PLAQUÉS OU REVÊTUS (À L'EXCL. DES PRODUITS ÉTAMÉS, PLOMBÉS, ZINGUÉS, PEINTS, VERNIS OU REVÊTUS D'ALUMINIUM, DE MATIÈRES PLASTIQUES OU D'OXY</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</si>
  <si>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</si>
  <si>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FER OU EN ACIERS NON-ALLIÉS, SIMPL. LAMINÉES OU FILÉES À CHAUD, DE SECTION TRANSVERSALE RECTANGULAIRE (À L'EXCL. DES BARRES EN ACIERS DE DÉCOLLETAGE AINSI QUE DES BARRES COMPORTANT DES INDENTATIONS, BOURRELETS, CREUX OU RELIEFS OBTENUS AU</t>
  </si>
  <si>
    <t>=t("   BARRES EN FER OU EN ACIERS NON-ALLIÉS, SIMPL. LAMINÉES OU FILÉES À CHAUD (À L'EXCL. DE SECTION TRANSVERSALE RECTANGULAIRE, DES BARRES COMPORTANT DES INDENTATIONS, BOURRELETS, CREUX OU RELIEFS OBTENUS AU COURS DU LAMINAGE OU AYANT SUBI UNE TORSION A</t>
  </si>
  <si>
    <t>=t("   Profilés en fer ou en aciers non alliés, obtenus ou parachevés à froid et ayant subi certaines ouvraisons plus poussées (autres que obtenus à partir de produits laminés plats) ou simplement forgés ou forgés ou autrement obtenus à chaud et ayant sub</t>
  </si>
  <si>
    <t xml:space="preserve">=t("   Traverses, contre-rails et crémaillères, coussinets, coins, plaques de serrage, plaques et barres d'écartement et autres éléments de voies ferrées spécialements conçus pour la pose, le jointement ou la fixation des rails, en fonte, fer ou acier (à </t>
  </si>
  <si>
    <t>=t("   TUBES, TUYAUX ET PROFILÉS CREUX SANS SOUDURE, DE SECTION CIRCULAIRE, EN FER (À L'EXCL. DE LA FONTE) OU ACIERS NON-ALLIÉS, ÉTIRÉS OU LAMINÉS À FROID (SAUF TUBES ET TUYAUX DES TYPES UTILISÉS POUR LES OLÉODUCS OU GAZODUCS OU POUR L'EXTRACTION DU PÉTRO</t>
  </si>
  <si>
    <t>=t("   TUBES, TUYAUX ET PROFILÉS CREUX, SANS SOUDURE, DE SECTION CIRCULAIRE, EN FER (À L'EXCL. DE LA FONTE) OU EN ACIERS NON-ALLIÉS, NON-ÉTIRÉS OU LAMINÉS À FROID (À L'EXCL. DES TUBES, TUYAUX ET PROFILÉS CREUX DES TYPES UTILISÉS POUR LES OLÉODUCS ET LES G</t>
  </si>
  <si>
    <t>=t("   TUBES, TUYAUX ET PROFILÉS CREUX SOUDÉS, DE SECTION CIRCULAIRE, EN FER OU ACIERS NON-ALLIÉS (SAUF TUBES DE SECTIONS INTÉRIEURE ET EXTÉRIEURE CIRCULAIRES ET DE DIAMÈTRE EXTÉRIEUR &gt; 406,4 MM ET SAUF TUBES DES TYPES UTILISÉS POUR LES OLÉODUCS OU LES GA</t>
  </si>
  <si>
    <t>=t("   Tubes, tuyaux et profilés creux soudés, de section circulaire, en aciers inoxydables (autres que tubes à sections intérieure et extérieure circulaires et à diamètre extérieur &gt; 406,4 mm et sauf tubes des types utilisés pour les oléoducs et les gazo</t>
  </si>
  <si>
    <t>=t("   Tubes, tuyaux et profilés creux soudés, de section circulaire, en aciers alliés autres qu'inoxydables (autres que tubes de sections intérieure et extérieure circulaires et d'un diamètre extérieur &gt; 406,4 mm et sauf tubes des types utilisés pour les</t>
  </si>
  <si>
    <t>=t("   Tubes, tuyaux et profilés creux soudés, de section autre que circulaire, en fer ou en acier (autres que tubes à sections intérieure et extérieure circulaires et d'un diamètre extérieur &gt; 406,4 mm et sauf tubes des types utilisés pour les oléoducs e</t>
  </si>
  <si>
    <t>=t("   Constructions et parties de constructions, en fonte, fer ou acier, n.d.a. (à l'excl. des ponts et éléments de ponts, tours et pylônes, portes et fenêtres et leurs cadres, chambranles et seuils, et à l'excl. du matériel d'échafaudage, de coffrage et</t>
  </si>
  <si>
    <t>=t("   Réservoirs, foudres, cuves et récipients simil. en fonte, fer ou acier, pour toutes matières (à l'excl. des gaz comprimés ou liquéfiés), d'une contenance &gt; 300 l, sans dispositifs mécaniques ou thermiques, même avec revêtement intérieur ou calorifu</t>
  </si>
  <si>
    <t>=t("   Toiles métalliques tissés, y.c. les toiles continues ou sans fin, en fils de fer ou d'aciers autres qu'inoxydables (à l'excl. des toiles en fils métalliques des types utilisés pour vêtements, aménagements intérieurs et usages simil. et sauf les toi</t>
  </si>
  <si>
    <t>=t("   Chaînes et chaînettes en fonte, fer ou acier (sauf chaînes à maillons articulés, antidérapantes, à maillons à étais, à maillons soudés, et leurs parties; chaînes et chaînettes de montres, d'horloges ou de bijouterie; chaînes dentées et à scie; chen</t>
  </si>
  <si>
    <t>=t("   Vis et boulons filetés, en fonte, fer ou acier, même avec leurs écrous ou rondelles (à l'excl. des tire-fond et autres vis à bois, crochets et pitons à pas de vis, vis autotaraudeuses, clous taraudeurs ainsi que des chevilles vissées, tampons et ar</t>
  </si>
  <si>
    <t>=t("   RESSORTS ET LAMES DE RESSORTS EN FER OU EN ACIER, Y.C. LES RESSORTS SPIRAUX PLATS (À L'EXCL. DES RESSORTS EN HÉLICE, RESSORTS SPIRAUX, RESSORTS À LAMES ET LEURS LAMES, RESSORTS DE MONTRES, RONDELLES-RESSORTS, RONDELLES ÉLASTIQUES ET SAUF RESSORTS-A</t>
  </si>
  <si>
    <t>=t("   Appareils de cuisson tels que foyers de cuisson, barbecues, grilloirs, réchauds et cuisinières, ainsi que chauffe-plats, à usage domestique, en fonte, fer ou acier, à combustibles gazeux ou à gaz et autres combustibles (à l'excl. des appareils dest</t>
  </si>
  <si>
    <t>=t("   Appareils de cuisson tels que foyers de cuisson, barbecues, grilloirs, réchauds et cuisinières, ainsi que chauffe-plats, à usage domestique, en fonte, fer ou acier, à combustibles liquides (à l'excl. des appareils destinés à la cuisine à grande éch</t>
  </si>
  <si>
    <t>=t("   Poêles, chaudières à foyer, foyers de lessiveuses, chaudières avec foyer pour la lessive, braseros et appareils ménagers simil., en fonte, fer ou acier, à combustibles gazeux ou à gaz et autres combustibles (à l'excl. des appareils de cuisson, chau</t>
  </si>
  <si>
    <t>=t("   Générateurs et distributeurs d'air chaud y.c. -les distributeurs pouvant également fonctionner comme distributeurs d'air frais ou conditionné-, à chauffage non électrique, comportant un ventilateur ou une soufflerie à moteur et leurs parties, en fo</t>
  </si>
  <si>
    <t xml:space="preserve">=t("   Articles de ménage ou d'économie domestique et leurs parties, en fonte non émaillée (à l'excl. des bidons, boîtes et récipients simil. du n° 7310; poubelles; gaufriers et autres articles ayant le caractère d'outils; cuillers, louches, fourchettes, </t>
  </si>
  <si>
    <t>=t("   Articles de ménage ou d'économie domestique et leurs parties, en fonte émaillée (à l'excl. des bidons, boîtes et récipients simil. du n° 7310; poubelles; pelles et autres articles à caractère d'outils; cuillers, louches, fourchettes, écumoires, pel</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</si>
  <si>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</si>
  <si>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</si>
  <si>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</si>
  <si>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d'hygiène ou de toilette et leurs parties, en fonte, fer ou acier (à l'excl. des bidons, boîtes et récipients simil. du n° 7310, des petites armoires suspendues à pharmacie ou de toilette et autres meubles du chapitre 94, des éviers et lav</t>
  </si>
  <si>
    <t>=t("   Toiles métalliques, y.c. les toiles continues ou sans fin, en fils de cuivre (sauf toiles en fils métalliques pour vêtements, aménagements intérieurs et usages simil., toiles en cuivre recouvertes de fondant pour brasage, toiles, grillages et treil</t>
  </si>
  <si>
    <t>=t("   ARTICLES DE MÉNAGE OU D'ÉCONOMIE DOMESTIQUE ET LEURS PARTIES, EN CUIVRE (SAUF ÉPONGES, TORCHONS, GANTS ET ARTICLES SIMIL.; BIDONS, BOÎTES ET RÉCIPIENTS SIMIL. DU N° 7419; ARTICLES À CARACTÈRE D'OUTILS; COUTELLERIE, CUILLERS, FOURCHETTES, ETC.; OBJE</t>
  </si>
  <si>
    <t>=t("   FILS EN ALLIAGES D'ALUMINIUM, DONT LA PLUS GRANDE DIMENSION DE LA SECTION TRANSVERSALE EST &lt;= 7 MM (À L'EXCL. DES CORDES HARMONIQUES, DES FILS ISOLÉS POUR L'ÉLECTRICITÉ AINSI QUE DES TORONS, CÂBLES, TRESSES ET ARTICLES SIMIL. DU N° 7614) [01/01/198</t>
  </si>
  <si>
    <t>=t("   Réservoirs, foudres, cuves et récipients simil. en aluminium, pour toutes matières, à l'excl. des gaz comprimés ou liquéfiés, d'une contenance &gt; 300 l (sans dispositifs mécaniques ou thermiques et à l'excl. des conteneurs spécialement conçus et équ</t>
  </si>
  <si>
    <t>=t("   TORONS, CÂBLES, TRESSES ET ARTICLES SIMIL., EN ALUMINIUM (À L'EXCL. DES PRODUITS ISOLÉS POUR L'ÉLECTRICITÉ ET DES ARTICLES AVEC ÂME EN ACIER) [01/01/1988-31/12/1994: TORONS, CABLES, TRESSES ET SIMILAIRES, EN ALUMINIUM (SANS AME EN ACIER ET SAUF PRO</t>
  </si>
  <si>
    <t>=t("   Articles de ménage, d'économie domestique, et leurs parties, en aluminium (sauf éponges, torchons, gants et articles simil.; bidons, boîtes et récipients simil. du n° 7612; articles ayant le caractère d'outils, cuillers, louches, fourchettes et art</t>
  </si>
  <si>
    <t xml:space="preserve">=t("   Pointes, clous, crampons appointés, vis, boulons, écrous, crochets à pas de vis, rivets, goupilles, chevilles, clavettes, rondelles et simil., en aluminium(sauf agrafes présentées en barrettes et sauf chevilles vissées, tampons et articles simil., </t>
  </si>
  <si>
    <t>=t("   Faux et faucilles, couteaux à foin ou à paille et autres outils agricoles, horticoles ou forestiers, à main, avec partie travaillante en métaux communs (à l'excl. des bêches, pelles, fourches, pioches, pics, houes, binettes, râteaux, racloirs, hach</t>
  </si>
  <si>
    <t>=t("   LAMES DE SCIES, Y.C. LES LAMES DE SCIES NON-DENTÉES, EN MÉTAUX COMMUNS (À L'EXCL. DES LAMES DE SCIES À RUBAN, DES LAMES DE SCIES CIRCULAIRES, DES LAMES DE FRAISES-SCIES, DES CHAÎNES DE SCIE DITES -COUPANTES- ET SAUF LAMES DE SCIES DROITES POUR LE T</t>
  </si>
  <si>
    <t>=t("   Couteaux et lames tranchantes, en métaux communs, pour machines ou appareils mécaniques (sauf pour le travail du métal ou du bois, sauf pour appareils de cuisine ou pour machines de l'industrie alimentaire, et sauf pour machines agricoles, horticol</t>
  </si>
  <si>
    <t xml:space="preserve">=t("   APPAREILS MÉCANIQUES ACTIONNÉS À LA MAIN, EN MÉTAUX COMMUNS, D'UN POIDS &lt;= 10 KG, UTILISÉS POUR PRÉPARER, CONDITIONNER OU SERVIR LES ALIMENTS OU LES BOISSONS [01/01/1988-31/12/1994: APPAREILS MECANIQUES ACTIONNES A LA MAIN, EN METAUX COMMUNS, D'UN </t>
  </si>
  <si>
    <t>=t("   Couteaux à lame fixe en métaux communs (sauf couteaux à foin et à paille, coutelas et machettes, couteaux et lames tranchantes pour machines ou appareils mécaniques, couteaux à poisson, couteaux à beurre, petites et grandes lames de rasoirs et autr</t>
  </si>
  <si>
    <t>=t("   Cuillers, fourchettes, louches, écumoires, pelles à tartes, couteaux spéciaux à poisson ou à beurre, pinces à sucre et articles simil., en métaux communs, ni argentés, ni dorés, ni platinés (sauf en assortiments et sauf cisailles à volaille et à ho</t>
  </si>
  <si>
    <t>=t("   GARNITURES, FERRURES ET ARTICLES SIMIL. EN MÉTAUX COMMUNS (SAUF SERRURES ET VERROUS DE S¹RETÉ À CLEF, FERMOIRS ET MONTURES-FERMOIRS À SERRURE, CHARNIÈRES, ROULETTES, GARNITURES, FERRURES ET SIMIL. POUR BÂTIMENTS AINSI QUE GARNITURES, FERRURES ET AR</t>
  </si>
  <si>
    <t>=t("   Attache-lettres, coins de lettres, trombones, onglets de signalisation, et matériel de bureau similaire en métaux communs, y.c. les parties des articles du n° 8305 (à l'excl. des mécanismes complets pour reliure de feuillets mobiles ou pour classeu</t>
  </si>
  <si>
    <t>=t("   Fermoirs, montures-fermoirs sans serrure, boucles, boucles-fermoirs et articles simil., en métaux communs, pour vêtements, chaussures, maroquinerie, etc., y.c. les parties des articles du n° 8308, en métaux communs (sauf agrafes, crochets, oeillets</t>
  </si>
  <si>
    <t xml:space="preserve">=t("   Plaques indicatrices, plaques-enseignes, plaques-adresses et plaques simil., chiffres, lettres et enseignes diverses, en métaux communs, y.c. les panneaux de signalisation routière (sauf les enseignes et plaques indicatrices lumineuses du n° 9405, </t>
  </si>
  <si>
    <t>=t("   Baguettes enrobées et fils fourrés en métaux communs, pour brasage ou soudage à la flamme (à l'excl. des fils et baguettes à âme décapante chez lesquels le métal de brasage, décapants et fondants non compris, contient &gt;= 2% en poids d'un métal préc</t>
  </si>
  <si>
    <t xml:space="preserve">=t("   Fils, baguettes, tubes, plaques, électrodes et articles simil. en métaux communs ou en carbures métalliques, enrobés ou fourrés de décapants ou de fondants, pour brasage, soudage ou dépôt de métal ou de carbures métalliques, n.d.a., ainsi que fils </t>
  </si>
  <si>
    <t xml:space="preserve">=t("   Générateurs de gaz à l'air ou de gaz à l'eau, avec ou sans leurs épurateurs; générateurs d'acétylène et générateurs simil. de gaz, par procédé à l'eau, avec ou sans leurs épurateurs (sauf fours à coke, générateurs de gaz par procédé électrolytique </t>
  </si>
  <si>
    <t>=t("   MOTEURS HORS-BORD À ALLUMAGE PAR ÉTINCELLES "MOTEURS À EXPLOSION" POUR LA PROPULSION DE BATEAUX")</t>
  </si>
  <si>
    <t>=t("   MOTEURS À PISTON ALTERNATIF À ALLUMAGE PAR ÉTINCELLES "MOTEURS À EXPLOSION", DES TYPES UTILISÉS POUR LA PROPULSION DES VÉHICULES DU CHAPITRE 87, CYLINDRÉE &gt; 1000 CM³"")</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</si>
  <si>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</si>
  <si>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</si>
  <si>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</si>
  <si>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=t("   POMPES POUR LIQUIDES VOLUMÉTRIQUES ALTERNATIVES, À MOTEUR (SAUF POMPES AVEC DISPOSITIF MESUREUR OU CONÇUES POUR EN COMPORTER DU N° 8413.11 OU 8413.19, POMPES À CARBURANT, À HUILE OU À LIQUIDE DE REFROIDISSEMENT POUR MOTEURS À ALLUMAGE PAR ÉTINCELLE</t>
  </si>
  <si>
    <t>=t("   Pompes pour liquides volumétriques rotatives, à moteur (sauf pompes à dispositif mesureur ou conçues pour en comporter du n° 8413.11 ou 8413.19, sauf pompes à carburant, à huile ou à liquide de refroidissement pour moteurs à allumage par étincelles</t>
  </si>
  <si>
    <t>=t("   Pompes pour liquides centrifuges, à moteur (sauf pompes à dispositif mesureur ou conçues pour en comporter du n° 8413.11 ou 8413.19, pompes à carburant, à huile ou à liquide de refroidissement pour moteurs à allumage par étincelles ou par compressi</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</si>
  <si>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</si>
  <si>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Pompes à air, compresseurs d'air ou d'autres gaz, hottes aspirantes à extraction ou à recyclage par filtre, à ventilateur incorporé, plus grand côté horizontal &gt; 120 cm (autres que pompes à vide, pompes à air à main ou à pied, compresseurs des type</t>
  </si>
  <si>
    <t>=t("   MACHINES ET APPAREILS POUR LE CONDITIONNEMENT DE L'AIR, FORMANT UN SEUL CORPS OU DU TYPE "SPLIT-SYSTEM" [SYSTÈMES À ÉLÉMENTS SÉPARÉS], DU TYPE MURAL OU POUR FENÊTRES"")</t>
  </si>
  <si>
    <t>=t("   Machines et appareils pour le conditionnement de l'air, avec dispositif de réfrigération et soupape d'inversion du cycle thermique [pompes à chaleur réversibles] (autres que machines et appareils du type de ceux utilisés pour le confort des personn</t>
  </si>
  <si>
    <t>=t("   Machines et appareils pour le conditionnement de l'air, avec dispositif de réfrigération mais sans soupape d'inversion du cycle thermique (autres que machines et appareils du type de ceux utilisés pour le confort des personnes dans les véhicules au</t>
  </si>
  <si>
    <t>=t("   Machines et appareils pour le conditionnement de l'air comprenant un ventilateur à moteur, sans dispositif de réfrigération mais bien des dispositifs propres à modifier la température et l'humidité de l'air (sauf machines et appareils du type de ce</t>
  </si>
  <si>
    <t>=t("   Fours industriels ou de laboratoire non-électriques, y.c. les incinérateurs (sauf fours pour le grillage, la fusion ou autres traitements thermiques de minerais, pyrite ou métaux, fours de boulangerie, de pâtisserie ou de biscuiterie et sauf étuves</t>
  </si>
  <si>
    <t>=t("   MEUBLES [COFFRES, ARMOIRES, VITRINES, COMPTOIRS ET SIMIL.] POUR LA CONSERVATION ET L'EXPOSITION DE PRODUITS, INCORPORANT UN ÉQUIPEMENT POUR LA PRODUCTION DU FROID (SAUF RÉFRIGÉRATEURS ET CONGÉLATEURS-CONSERVATEURS COMBINÉS, À PORTES EXTÉRIEURES SÉP</t>
  </si>
  <si>
    <t xml:space="preserve">=t("   Appareils et dispositifs, même chauffés électriquement, pour le traitement de matières par des opérations impliquant un changement de température telles que le chauffage, la cuisson, la torréfaction, la stérilisation, la pasteurisation, l'étuvage, </t>
  </si>
  <si>
    <t>=t("   Machines et appareils à empaqueter ou à emballer les marchandises, y.c. les machines et appareils à emballer sous film thermorétractable (à l'excl. des machines et appareils à remplir, fermer, boucher ou étiqueter les bouteilles, boîtes, sacs ou au</t>
  </si>
  <si>
    <t>=t("   PISTOLETS AÉROGRAPHES ET APPAREILS SIMIL. (À L'EXCL. DES MACHINES ET APPAREILS ÉLECTRIQUES POUR LA PROJECTION À CHAUD DE MÉTAUX OU DE CARBURES MÉTALLIQUES FRITTÉS [N¦ 8515] AINSI QUE DES MACHINES ET APPAREILS À JET DE SABLE, VAPEUR, ETC.) [01/01/19</t>
  </si>
  <si>
    <t>=t("   Machines et appareils à jet de sable, à jet de vapeur et appareils à jet simil., y.c. les appareils de nettoyage à eau à moteur incorporé -appareils de nettoyage à haute pression- (à l'excl. des machines et appareils pour le nettoyage de contenants</t>
  </si>
  <si>
    <t>=t("   Parties d'extincteurs, de pistolets aérographes et appareils simil., de machines et appareils à jet de sable, à jet de vapeur et appareils à jet simil. ainsi que de machines et appareils mécaniques à projeter, disperser ou pulvériser des matières l</t>
  </si>
  <si>
    <t>=t("   Machines de sondage ou de forage de la terre, des minéraux ou des minerais, autopropulsées (à l'excl. des machines montées sur wagons pour réseaux ferroviaires ou sur châssis d'automobiles ou sur camions, et sauf machines à creuser les tunnels et a</t>
  </si>
  <si>
    <t>=t("   Machines, appareils et engins agricoles, sylvicole ou horticoles pour la préparation ou le travail du sol ou pour la culture, rouleaux pour pelouses ou terrains de sport (à l'excl. des pulvérisateurs, appareils d'arrosage et poudreuses, charrues, h</t>
  </si>
  <si>
    <t xml:space="preserve">=t("   Machines et appareils pour la récolte de produits agricoles (à l'excl. des faucheuses, machines et appareils de fenaison, presses à paille ou à fourrage, y.c. les presses ramasseuses, moissonneuses-batteuses et autres machines et appareils pour le </t>
  </si>
  <si>
    <t>=t("   Machines et appareils de laiterie pour la transformation du lait en produits laitiers (à l'excl. des appareils réfrigérants ou des installations pour traitement thermique, écrémeuses, centrifugeuses de clairçage, filtres-presses et autres appareils</t>
  </si>
  <si>
    <t>=t("   Presses et pressoirs, fouloirs et machines et appareils simil., pour la fabrication du vin, du cidre, des jus de fruits ou de boissons simil. (à l'excl. des machines, appareils et dispositifs pour le traitement de ces boissons, y.c. les centrifugeu</t>
  </si>
  <si>
    <t xml:space="preserve">=t("   Machines et appareils pour la préparation des aliments ou provendes pour animaux dans les exploitations agricoles ou autres exploitations analogues (à l'excl. de l'industrie des aliments pour animaux, des hache-paille et des étuveurs à fourrage et </t>
  </si>
  <si>
    <t>=t("   Machines et appareils de minoterie ou pour traitement des céréales ou légumes secs (autres que les machines et appareils du type agricole, les installations de traitement thermique, essoreuses centrifuges, filtres à air ainsi que machines et appare</t>
  </si>
  <si>
    <t>=t("   Machines et appareils pour la fabrication industrielle des produits de boulangerie, pâtisserie ou biscuiterie ou pour la fabrication industrielle des pâtes alimentaires (sauf fours, appareils de séchage des pâtes alimentaires et machines à rouler l</t>
  </si>
  <si>
    <t xml:space="preserve">=t("   Machines et appareils pour le brochage ou la reliure, y.c. les machines à coudre les feuillets (à l'excl. des machines et appareils pour le travail de la pâte à papier, du papier et du carton, y.c. les coupeuses, des presses polyvalentes ainsi que </t>
  </si>
  <si>
    <t>=t("   Machines, appareils et matériel pour la préparation ou la fabrication des clichés, planches, cylindres ou autres organes imprimants (sauf machines-outils à travailler par enlèvement de toute matière, à poste fixe et à stations multiples, à effectue</t>
  </si>
  <si>
    <t>=t("   MACHINES ET APPAREILS SERVANT À L'IMPRESSION AU MOYEN DE PLANCHES, CYLINDRES ET AUTRES ORGANES IMPRIMANTS DU N° 8442 (À L'EXCL. DES DUPLICATEURS HECTOGRAPHIQUES OU À STENCILS, DES MACHINES À IMPRIMER LES ADRESSES ET AUTRES MACHINES DE BUREAU À IMPR</t>
  </si>
  <si>
    <t>=t("   IMPRIMANTES, MACHINES À COPIER ET MACHINES À TÉLÉCOPIER (À L'EXCL. DE CELLES APTES À ÊTRE CONNECTÉES À UNE MACHINE AUTOMATIQUE DE TRAITEMENT DE L'INFORMATION OU À UN RÉSEAU ET DES MACHINES ET APPAREILS SERVANT À L'IMPRESSION AU MOYEN DE PLANCHES, C</t>
  </si>
  <si>
    <t>=t("   Machines et appareils servant à l'impression au moyen de caractères d'imprimerie, clichés, planches, cylindres et autres organes imprimants du n° 8442 (à l'excl. des duplicateurs hectographiques ou à stencils, des machines à imprimer les adresses e</t>
  </si>
  <si>
    <t>=t("   Machines et appareils pour la fabrication des fils textiles, machines à préparer les fils textiles, pour utilisation sur les machines des 8446 ou 8447 (autres que les machines pour le filage -extrusion-, l'étirage, la texturation ou le tranchage de</t>
  </si>
  <si>
    <t>=t("   Machines et appareils pour l'apprêt et le finissage, l'enduction ou l'imprégnation des fils, tissus ou autres ouvrages en matières textiles, et machines pour le revêtement des tissus ou autres supports utilisés pour la fabrication de couvre-parquet</t>
  </si>
  <si>
    <t>=t("   Parties de machines et appareils pour le lavage, nettoyage, essorage, séchage, repassage, pressage, blanchiment, teinture, apprêt, finissage, enduction ou imprégnation de fils, tissus ou autres ouvrages en matières textiles, ou pour le revêtement d</t>
  </si>
  <si>
    <t>=t("   TOURS, Y.C. LES CENTRES DE TOURNAGE, TRAVAILLANT PAR ENLÈVEMENT DE MÉTAL (À L'EXCL. DES TOURS HORIZONTAUX ET DES TOURS À COMMANDE NUMÉRIQUE) [01/01/1988-31/12/1994: TOURS TRAVAILLANT PAR ENLEVEMENT DE METAL (AUTRES QU'A COMMANDE NUMÉRIQUE ET AUTRES</t>
  </si>
  <si>
    <t>=t("   MACHINES À PERCER, POUR LE TRAVAIL DES MÉTAUX (À L'EXCL. DES MACHINES À COMMANDE NUMÉRIQUE, DES UNITÉS D'USINAGE À GLISSIÈRES ET DES MACHINES MUES À LA MAIN) [01/01/1988-31/12/1994: MACHINES A PERCER LES METAUX PAR ENLEVEMENT DE MATIÈRES (AUTRES QU</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</si>
  <si>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</si>
  <si>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=t("   Machines-outils pour le travail de la pierre, des produits céramiques, du béton, de l'amiante-ciment ou de matières minérales simil., ou pour le travail à froid du verre (autres qu'à scier, à meuler ou à polir et autres que les machines pour emploi</t>
  </si>
  <si>
    <t>=t("   Machines à dégauchir ou à raboter; machines à fraiser ou à moulurer, pour le travail du bois, des matières plastiques dures, etc. (autres que les machines pour emploi à la main et les machines pouvant effectuer différents types d'opérations d'usina</t>
  </si>
  <si>
    <t>=t("   Machines à percer ou à mortaiser, pour le travail du bois, des matières plastiques dures, etc. (autres que machines pour emploi à la main et les machines pouvant effectuer différents types d'opération d'usinage sans changement d'outils entre les op</t>
  </si>
  <si>
    <t xml:space="preserve">=t("   Machines-outils pour le travail du bois, des matières plastiques dures, etc. (sauf outillage à main, machines pouvant effectuer différents types d'opérations d'usinage sans changement d'outils entre les opérations; machines à scier, à dégauchir ou </t>
  </si>
  <si>
    <t>=t("   MACHINES À ÉCRIRE ET MACHINES POUR LE TRAITEMENT DES TEXTES (À L'EXCL. DES MACHINES AUTOMATIQUES DE TRAITEMENT DE L'INFORMATION ET DE LEURS UNITÉS DU N° 8443, AINSI QUE DES IMPRIMANTES AU LASER, DES IMPRIMANTES THERMIQUES ET DES IMPRIMANTES ÉLECTRO</t>
  </si>
  <si>
    <t>=t("   Calculatrices électroniques pouvant fonctionner sans source d'énergie électrique extérieure et machines de poche [dimensions &lt;= 170 mm x 100 mm x 45 mm] comportant une fonction de calcul permettant d'enregistrer, de reproduire et d'afficher des inf</t>
  </si>
  <si>
    <t>=t("   Machines automatiques de traitement de l'information numériques, comportant, sous une même enveloppe, au moins une unité centrale de traitement et, qu'elles soient ou non combinées, une unité d'entrée et une unité de sortie (sauf portatives d'un po</t>
  </si>
  <si>
    <t>=t("   Machines automatiques de traitement de l'information numériques se présentant sous forme de systèmes [comportant au moins une unité centrale de traitement, une unité d'entrée et une unité de sortie] (sauf portatives d'un poids &lt;= 10 kg et à l'excl.</t>
  </si>
  <si>
    <t>=t("   Unités de traitement numériques pour machines automatiques de traitement de l'information, pouvant comporter, sous une même enveloppe, un ou deux des types d'unités suivants: unité de mémoire, unité d'entrée et unité de sortie (autres que celles du</t>
  </si>
  <si>
    <t>=t("   Machines à imprimer les adresses ou à estamper les plaques d'adresses (sauf machines à écrire automatiques, machines automatiques pour le traitement de l'information et leurs unités et sauf imprimantes à laser, imprimantes thermiques ou imprimantes</t>
  </si>
  <si>
    <t>=t("   Machines à agglomérer, former ou mouler les combustibles minéraux solides, les pâtes céramiques, le ciment, le plâtre ou autres matières minérales en poudre ou pâte; machines à former les moules de fonderie en sable (sauf pour mouler ou couler le v</t>
  </si>
  <si>
    <t>=t("   Machines et appareils à mouler ou à former pour le travail du caoutchouc ou des matières plastiques ou pour la fabrication de produits en ces matières (à l'excl. des machines à mouler par injection, des extrudeuses, machines à mouler par soufflage,</t>
  </si>
  <si>
    <t>=t("   MACHINES ET APPAREILS POUR L'EXTRACTION OU LA PRÉPARATION DES HUILES OU GRAISSES VÉGÉTALES FIXES OU ANIMALES (À L'EXCL. DES CENTRIFUGEUSES, DES APPAREILS POUR LA FILTRATION ET DES APPAREILS DE CHAUFFAGE) [01/01/1988-31/12/1994: MACHINES ET APPAREIL</t>
  </si>
  <si>
    <t>=t("   Machines et appareils pour le traitement des métaux, y.c. les bobineuses pour enroulements électriques, n.d.a. (à l'excl. des robots industriels, des fours, appareils de séchage, pistolets aérographes et appareils simil., appareils de nettoyage à h</t>
  </si>
  <si>
    <t>=t("   MOULES POUR LE CAOUTCHOUC OU LES MATIÈRES PLASTIQUES (À L'EXCL. DES ARTICLES POUR LE MOULAGE PAR INJECTION OU PAR COMPRESSION) [01/01/1988-31/12/1994: MOULES POUR LE CAOUTCHOUC OU LES MATIÈRES PLASTIQUES, POUR MOULAGE AUTRE QUE PAR INJECTION OU COM</t>
  </si>
  <si>
    <t>=t("   Roulements à galets et autres roulements, y.c. les roulements combinés (à l'excl. des roulements à billes, roulements à rouleaux coniques, y.c. les assemblages de cônes et rouleaux coniques, roulements à rouleaux en forme de tonneau, roulements à a</t>
  </si>
  <si>
    <t>=t("   Engrenages et roues de friction de machines (à l'excl. des  roues dentées et autres organes élémentaires de transmission présentés séparément); broches filetées à billes ou à rouleaux; réducteurs, multiplicateurs et variateurs de vitesse, y. c. les</t>
  </si>
  <si>
    <t>=t("   PARTIES ET ACCESSOIRES DE MACHINES ET APPAREILS UTILISÉS EXCLUSIVEMENT OU PRINCIPALEMENT POUR LA FABRICATION DES LINGOTS, DES PLAQUETTES OU DES DISPOSITIFS À SEMI-CONDUCTEUR, DES CIRCUITS INTÉGRÉS ÉLECTRONIQUES OU DES DISPOSITIFS D'AFFICHAGE À ÉCRA</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</si>
  <si>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</si>
  <si>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</si>
  <si>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</si>
  <si>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=t("   Appareils électromécaniques à moteur électrique incorporé, à usage domestique (autres qu'aspirateurs de poussières, des aspirateurs de matières sèches et de matières liquides, cireuses à parquets, broyeurs pour déchets de cuisine, broyeurs et mélan</t>
  </si>
  <si>
    <t>=t("   Appareils et dispositifs électriques d'allumage pour moteurs à allumage par étincelles ou par compression, y.c. conjoncteurs-disjoncteurs (autres que génératrices, démarreurs, distributeurs, bobines d'allumage, magnétos, volants magnétiques et boug</t>
  </si>
  <si>
    <t>=t("   APPAREILS ÉLECTRIQUES D'ÉCLAIRAGE OU DE SIGNALISATION VISUELLE DES TYPES UTILISÉS POUR LES BICYCLETTES (À L'EXCL. DES LAMPES DU N° 8539) [01/01/1988-31/12/1994: APPAREILS ÉLECTRIQUES D'ECLAIRAGE OU DE SIGNALISATION VISUELLE POUR BICYCLETTES, (A L'E</t>
  </si>
  <si>
    <t>=t("   Parties des fours électriques industriels et de laboratoires, y.c. des ceux fonctionnant par induction ou par pertes diélectriques ainsi que des appareils industriels ou de laboratoires pour le traitement thermique des matières par induction ou par</t>
  </si>
  <si>
    <t>=t("   Machines et appareils électriques pour le soudage, opérant par laser ou autres faisceaux de lumière ou de photons, par ultrasons, par faisceaux d'électrons, par impulsions magnétiques; machines et appareils électriques pour la projection à chaud de</t>
  </si>
  <si>
    <t>=t("   Appareils électrothermiques, pour usages domestiques (autres que pour la coiffure ou pour sécher les mains, pour le chauffage des locaux, du sol ou pour usages simil.; autres que chauffe-eau, thermoplongeurs, fers à repasser, fours à micro-ondes, f</t>
  </si>
  <si>
    <t>=t("   ÉMETTEURS-RÉCEPTEURS POUR LA TÉLÉCOMMUNICATION PAR COURANT PORTEUR OU POUR LA TÉLÉCOMMUNICATION NUMÉRIQUE, POUR LA TÉLÉPHONIE OU LA TÉLÉGRAPHIE PAR FIL (À L'EXCL. DES POSTES TÉLÉPHONIQUES D'USAGERS, DES VISIOPHONES, DES TÉLÉCOPIEURS, DES TÉLÉSCRIPT</t>
  </si>
  <si>
    <t>=t("   APPAREILS POUR LA RÉCEPTION, LA CONVERSION ET LA TRANSMISSION OU LA RÉGÉNÉRATION DE LA VOIX, D'IMAGES OU D'AUTRES DONNÉES, Y.COMPRIS. LES APPAREILS DE COMMUNICATION ET DE ROUTAGE (À L'EXCL. DE STATIONS DE BASE, POSTES TÉLÉPHONIQUES, TÉLÉPHONES POUR</t>
  </si>
  <si>
    <t>=t("   APPAREILS POUR LA TRANSMISSION OU LA RÉCEPTION DE LA VOIX, D'IMAGES OU D'AUTRES DONNÉES, Y.C. LES APPAREILS POUR LA COMMUNICATION DANS UN RÉSEAU FILAIRE OU SANS FIL [TEL QU'UN RÉSEAU LOCAL OU ÉTENDU] (À L'EXCL. DES POSTES TÉLÉPHONIQUES D'USAGERS, D</t>
  </si>
  <si>
    <t>=t("   Appareils électriques pour la téléphonie ou la télégraphie par fil (autres que postes téléphoniques d'usagers, visiophones, télécopieurs, téléscripteurs, appareils de commutation et émetteur-récepteur pour la télécommunication par courant porteur o</t>
  </si>
  <si>
    <t xml:space="preserve">=t("   Parties d'appareils électriques pour la téléphonie ou la télégraphie par fil, y.c. les postes téléphoniques d'usagers par fil à combinés sans fil et les appareils pour la télécommunication par courant porteur ou pour la télécommunication numérique </t>
  </si>
  <si>
    <t xml:space="preserve">=t("   Casques d'écoute et écouteurs électro-acoustiques, même combinés avec un microphone, et ensembles ou assortiments constitués par un microphone et un ou plusieurs haut-parleurs (autres qu'appareils téléphoniques, prothèses auditives et casques avec </t>
  </si>
  <si>
    <t>=t("   APPAREILS D'ENREGISTREMENT OU DE REPRODUCTION DU SON (SAUF UTILISANT UN SUPPORT MAGNÉTIQUE, OPTIQUE OU À SEMI-CONDUCTEURS ET À L'EXCL. DES APPAREILS FONCTIONNANT PAR L'INTRODUCTION D'UNE PIÈCE DE MONNAIE, D'UN BILLET DE BANQUE, D'UNE CARTE BANCAIRE</t>
  </si>
  <si>
    <t>=t("   APPAREILS D'ENREGISTREMENT OU DE REPRODUCTION VIDÉOPHONIQUES À BANDES MAGNÉTIQUES, INCORPORANT ÉGALEMENT UN RÉCEPTEUR DE SIGNAUX VIDÉOPHONIQUES (À L'EXCL. DES CAMÉSCOPES) [01/01/1988-31/12/1991: APPAREILS D'ENREGISTREMENT OU DE REPRODUCTION VIDEOPH</t>
  </si>
  <si>
    <t>=t("   APPAREILS D'ENREGISTREMENT OU DE REPRODUCTION VIDÉOPHONIQUES, INCORPORANT ÉGALEMENT UN RÉCEPTEUR DE SIGNAUX VIDÉOPHONIQUES (AUTRES QU'À BANDES MAGNÉTIQUES ET À L'EXCL. DES CAMÉSCOPES) [01/01/1988-31/12/1991: APPAREILS D'ENREGISTREMENT OU DE REPRODU</t>
  </si>
  <si>
    <t>=t("   Parties et accessoires reconnaissables comme étant exclusivement ou principalement destinés aux appareils d'enregistrement et de reproduction du son et aux appareils d'enregistrement et de reproduction vidéophoniques (à l'excl. des lecteurs de micr</t>
  </si>
  <si>
    <t>=t("   SUPPORTS À SEMI-CONDUCTEUR, NON-ENREGISTRÉS, POUR L'ENREGISTREMENT DU SON OU POUR ENREGISTREMENTS ANALOGUES (À LEXCL. DES DISPOSITIFS DE STOCKAGE RÉMANENT DES DONNÉES À BASE DE SEMI-CONDUCTEURS, DES CARTES INTELLIGENTES AINSI QUE DES PRODUITS DU CH</t>
  </si>
  <si>
    <t>=t("   SUPPORTS POUR L'ENREGISTREMENT DU SON OU POUR ENREGISTREMENTS ANALOGUES, MÊMES ENREGISTRÉS, Y.C. LES MATRICES ET MOULES GALVANIQUES POUR LA FABRICATION DES DISQUES (À L'EXCL. DES SUPPORTS MAGNÉTIQUES, OPTIQUES ET À SEMI-CONDUCTEUR AINSI QUES DES PR</t>
  </si>
  <si>
    <t>=t("   DISQUES, BANDES ET AUTRES SUPPORTS POUR L'ENREGISTREMENT DU SON OU POUR ENREGISTREMENTS ANALOGUES, ENREGISTRES, Y COMPRIS LES MATRICES ET MOULES GALVANIQUES POUR LA FABRICATION DES DISQUES, (À L'EXCL. DES DISQUES POUR ÉLECTROPHONES ET DES BANDES MA</t>
  </si>
  <si>
    <t>=t("   Récepteurs de radiodiffusion ne pouvant fonctionner qu'avec une source d'énergie extérieure, pour véhicules automobiles, y.c. les appareils recevant également la radiotéléphonie ou la radiotélégraphie, non combinés à un appareil d'enregistrement et</t>
  </si>
  <si>
    <t>=t("   RÉCEPTEURS DE TÉLÉVISION EN COULEURS (Y C. LES MONITEURS VIDÉO ET LES PROJECTEURS VIDÉO), INCORPORANT EGALEMENT UN APPAREIL RÉCEPTEUR DE RADIODIFFUSION OU A UN APPAREIL D'ENREGISTREMENT OU DE REPRODUCTION DU SON OU DES IMAGES [01/01/1988-31/12/1991</t>
  </si>
  <si>
    <t>=t("   RÉCEPTEURS DE TÉLÉVISION EN NOIR ET BLANC OU EN AUTRES MONOCHROMES (Y C. LES MONITEURS VIDÉO ET LES PROJECTEURS VIDÉO), INCORPORANT EGALEMENT UN APPAREIL RÉCEPTEUR DE RADIODIFFUSION OU A UN APPAREIL D'ENREGISTREMENT OU DE REPRODUCTION DU SON OU DES</t>
  </si>
  <si>
    <t>=t("   APPAREILS RÉCEPTEURS POUR LA TÉLÉVISION EN NOIR ET BLANC OU EN AUTRES MONOCHROMES, MÊME INCORPORANT UN APPAREIL RÉCEPTEUR DE RADIODIFFUSION OU UN APPAREIL D'ENREGISTREMENT OU DE REPRODUCTION DU SON OU DES IMAGES, CONÇUS POUR INCORPORER UN DISPOSITI</t>
  </si>
  <si>
    <t>=t("   PARTIES RECONNAISSABLES COMME ÉTANT EXCLUSIVEMENT OU PRINCIPALEMENT DESTINÉES AUX APPAREILS ÉMETTEURS-RÉCEPTEURS POUR LA RADIODIFFUSION OU LA TÉLÉVISION, AUX CAMÉRAS DE TÉLÉVISION, AUX APPAREILS PHOTOGRAPHIQUES NUMÉRIQUES, AUX CAMÉSCOPES ET AUX APP</t>
  </si>
  <si>
    <t>=t("   Appareils électriques de signalisation acoustique ou visuelle (autres que panneaux indicateurs avec dispositifs à cristaux liquides ou à diodes émettrices de lumière, avertisseurs électriques pour la protection contre le vol ou l'incendie et appare</t>
  </si>
  <si>
    <t>=t("   Appareils électriques pour la coupure, le sectionnement, la protection, le branchement, le raccordement ou la connexion des circuits électriques, pour une tension &gt; 1.000 V (autres que fusibles et coupe-circuit, disjoncteurs, sectionneurs, interrup</t>
  </si>
  <si>
    <t xml:space="preserve">=t("   Appareillage pour le branchement, le raccordement ou la connexion des circuits électriques, pour une tension &lt;= 1.000 V (sauf fusibles et coupe-circuit, disjoncteurs et autres appareils pour la protection des circuits électriques, relais et autres </t>
  </si>
  <si>
    <t>=t("   Parties reconnaissables comme étant exclusivement ou principalement destinées aux appareils du n° 8535, 8536 ou 8537, n.d.a. (à l'excl. des tableaux, panneaux, consoles, pupitres, armoires et autres supports pour articles du n° 8537, dépourvus de l</t>
  </si>
  <si>
    <t>=t("   Lampes, tubes et valves électroniques (autres que tubes de réception et d'amplification, tubes pour hyperfréquences, tubes à cathode et à photocathode, tubes de visualisation des données graphiques en noir et blanc ou en autres monochromes et en co</t>
  </si>
  <si>
    <t>=t("   Matériel fixe de voies ferrées ou simil. (sauf traverses en bois, béton ou acier, files de rail et autres éléments de voies ferrées non encore montés); appareils mécaniques, y.c. électromécaniques, de signalisation, de sécurité, de contrôle ou de c</t>
  </si>
  <si>
    <t>=t("   VÉHICULES POUR LE TRANSPORT DE &gt;= 10 PERSONNES, CHAUFFEUR INCLUS, À MOTEUR À PISTON À ALLUMAGE PAR COMPRESSION "MOTEUR DIESEL OU SEMI-DIESEL"")</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</si>
  <si>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</si>
  <si>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&lt;= 1.</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</si>
  <si>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</si>
  <si>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</si>
  <si>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</si>
  <si>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</si>
  <si>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</si>
  <si>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</si>
  <si>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</si>
  <si>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</si>
  <si>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</si>
  <si>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</si>
  <si>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POUR LE TRANSPORT DE MARCHANDISES, À MOTEUR À PISTON À ALLUMAGE PAR ÉTINCELLES "MOTEUR À EXPLOSION", POIDS EN CHARGE MAXIMAL &gt;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</si>
  <si>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</si>
  <si>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</si>
  <si>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PARTIES ET ACCESSOIRES DE CARROSSERIE DE TRACTEURS, VÉHICULES POUR LE TRANSPORT DE &gt;= 10 PERSONNES, CHAUFFEUR INCLUS, VOITURES DE TOURISME, VÉHICULES POUR LE TRANSPORT DE MARCHANDISES ET VÉHICULES À USAGES SPÉCIAUX (SAUF PARE-CHOCS ET LEURS PARTIES</t>
  </si>
  <si>
    <t xml:space="preserve">=t("   SYSTÈMES DE SUSPENSION ET LEURS PARTIES, Y.C. LES AMORTISSEURS DE SUSPENSION, POUR TRACTEURS, VÉHICULES POUR LE TRANSPORT DE &gt;= 10 PERSONNES, CHAUFFEUR INCLUS, VOITURES DE TOURISME, VÉHICULES POUR LE TRANSPORT DE MARCHANDISES ET VÉHICULES À USAGES </t>
  </si>
  <si>
    <t xml:space="preserve">=t("   VOLANTS, COLONNES ET BOÎTIERS DE DIRECTION AINSI QUE LEURS PARTIES, POUR TRACTEURS, VÉHICULES POUR LE TRANSPORT DE &gt;= 10 PERSONNES, CHAUFFEUR INCLUS, VOITURES DE TOURISME, VÉHICULES POUR LE TRANSPORT DE MARCHANDISES ET VÉHICULES À USAGES SPÉCIAUX, </t>
  </si>
  <si>
    <t>=t("   Bateaux-phares, bateaux-pompes, pontons-grues et autres bateaux pour lesquels la navigation n'est qu'accessoire par rapport à la fonction principale (sauf bateaux-dragueurs, plates-formes de forage ou d'exploitation, flottantes ou submersibles, bat</t>
  </si>
  <si>
    <t>=t("   Appareils photographiques, pour pellicules en rouleaux d'une largeur &gt; 35 mm ou pour films plans (autres que les appareils photographiques à développement et tirage instantanés et les appareils photographiques pour usages spéciaux du n° 9006.10, 90</t>
  </si>
  <si>
    <t>=t("   Appareils et matériel pour le développement automatique des pellicules photographiques, des films cinématographiques ou du papier photographique en rouleaux ou pour l'impression automatique des pellicules développées sur des rouleaux de papier phot</t>
  </si>
  <si>
    <t>=t("   Microscopes optiques (à l'excl. de ceux destinés à la photomicrographie, la cinéphotomicrographie ou la microprojection, des microscopes stéréoscopiques, des microscopes binoculaires pour l'ophtalmologie ainsi que des instruments, appareils et mach</t>
  </si>
  <si>
    <t>=t("   Instruments et appareils de géodésie, de topographie, d'arpentage, de nivellement, d'hydrographie, de météorologie, d'hydrologie, de géophysique ou d'océanographie (à l'excl. des boussoles, des télémètres, des théodolites, des tachéomètres, des niv</t>
  </si>
  <si>
    <t>=t("   Appareils d'électrodiagnostic, y.c. les appareils d'exploration fonctionnelle ou de surveillance de paramètres physiologiques (sauf électrocardiographes, appareils de diagnostic par balayage ultrasonique [scanners], appareils de diagnostic par visu</t>
  </si>
  <si>
    <t>=t("   Appareils à tenir à la main, à porter sur la personne ou à implanter dans l'organisme, afin de compenser une déficience ou une infirmité (à l'excl. des articles et appareils de prothèse ainsi que des appareils complets pour faciliter l'audition aux</t>
  </si>
  <si>
    <t>=t("   Dispositifs générateurs de rayons X, autres que tubes à rayons X, générateurs de tension, pupitres de commande, écrans, tables, fauteuils et supports simil. d'examen ou de traitement, ainsi que tous les parties et accessoires des appareils du n° 90</t>
  </si>
  <si>
    <t>=t("   Instruments, appareils et modèles conçus pour la démonstration, p.ex. dans l'enseignement ou les expositions, non susceptibles d'autres emplois (à l'excl. des appareils au sol d'entraînement au vol du n° 8805, des spécimens pour collections du n° 9</t>
  </si>
  <si>
    <t>=t("   DENSIMÈTRES, ARÉOMÈTRES, PÈSE-LIQUIDES ET INSTRUMENTS FLOTTANTS SIMIL., BAROMÈTRES, HYGROMÈTRES ET PSYCHROMÈTRES, MÊME COMBINÉS ENTRE EUX OU COMBINÉS À DES THERMOMÈTRES [01/01/1988-31/12/1991: DENSIMÈTRES, ARÉOMÈTRES, PESE-LIQUIDES ET SIMILAIRES, P</t>
  </si>
  <si>
    <t>=t("   Microtomes; parties et accessoires des instruments et appareils pour analyses physiques ou chimiques, p.ex. polarimètres, réfractomètres, spectromètres, des instruments et appareils pour essais de viscosité, de porosité, de dilatation, de tension s</t>
  </si>
  <si>
    <t>=t("   INSTRUMENTS ET APPAREILS POUR LA MESURE OU LE CONTRÔLE DE GRANDEURS ÉLECTRIQUES, AVEC DISPOSITIF ENREGISTREUR (À L'EXCL. DES INSTRUMENTS ET APPAREILS SPÉCIALEMENT CONÇUS POUR LES TECHNIQUES DE TÉLÉCOMMUNICATION, DES MULTIMÈTRES, DES OSCILLOSCOPES E</t>
  </si>
  <si>
    <t>=t("   Instruments et appareils pour la régulation ou le contrôle automatiques (à l'excl. des instruments et appareils, hydrauliques ou pneumatiques, pour la régulation ou le contrôle automatiques, des manostats [pressostats], des thermostats et des artic</t>
  </si>
  <si>
    <t>=t("   Appareils d'horlogerie ne fonctionnant pas électriquement (autres que montres-bracelets, montres de poche et montres simil. du n° 9101 ou 9102, réveils ou pendulettes à mouvement de montre du n° 9103, montres de tableaux de bord et montres simil. d</t>
  </si>
  <si>
    <t>=t("   INSTRUMENTS DE MUSIQUE À VENT (À L'EXCL. DES INSTRUMENTS DITS "CUIVRES")")</t>
  </si>
  <si>
    <t>=t("   Articles de literie et simil., garnis de plumes, rembourrés, garnis de matières de toutes sortes, y.c. caoutchouc alvéolaire ou matières plastiques alvéolaires (sauf sommiers, matelas, sacs de couchage, matelas à eau, matelas pneumatiques et oreill</t>
  </si>
  <si>
    <t>=t("   JEUX AVEC ÉCRAN, FLIPPERS ET AUTRES AUTRES JEUX FONCTIONNANT PAR L'INTRODUCTION D'UNE PIÈCE DE MONNAIE, D'UN BILLET DE BANQUE, D'UNE CARTE BANCAIRE, D'UN JETON OU PAR D'AUTRES MOYENS DE PAIEMENT (À L'EXCL. DES JEUX DE QUILLES AUTOMATIQUES [P.EX. BO</t>
  </si>
  <si>
    <t>=t("   Tables spéciales pour jeux de casino, jeux de quilles automatiques [p.ex. bowlings] et autres jeux de société, y.c. les jeux à moteur ou à mouvement (sauf jeux fonctionnant par l'introduction d'une pièce de monnaie, d'un billet de banque, d'un jeto</t>
  </si>
  <si>
    <t>=t("   Manèges, balançoires, stands de tir et autres attractions foraines; théâtres ambulants (sauf cirques ambulants et ménageries ambulantes, installations foraines pour la vente de marchandises, y.c. de certaines marchandises, articles offerts en prix,</t>
  </si>
  <si>
    <t>Source: Copyright © 1958 - 2003 European Community, Eurostat. All Rights Reserved. Comext: k0000022.txt  Extracted: 07/10/2014</t>
  </si>
  <si>
    <t>xcl. des dessins du n° 4906 et des articles manufacturés décorés à la main)")</t>
  </si>
  <si>
    <t>dises présentées sur ces mannequins)")</t>
  </si>
  <si>
    <t>es offerts en prix, jeux f")</t>
  </si>
  <si>
    <t>Table generation of Extraction from Plan "k0000020,mtx"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</si>
</sst>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99"/>
  <sheetViews>
    <sheetView tabSelected="1" topLeftCell="A9" workbookViewId="0">
      <selection activeCell="A18" sqref="A16:XFD18"/>
    </sheetView>
  </sheetViews>
  <sheetFormatPr baseColWidth="10" defaultRowHeight="15" x14ac:dyDescent="0.25"/>
  <sheetData>
    <row r="1" spans="1:4" x14ac:dyDescent="0.25">
      <c r="C1" t="s">
        <v>545</v>
      </c>
    </row>
    <row r="3" spans="1:4" x14ac:dyDescent="0.25">
      <c r="A3" t="s">
        <v>0</v>
      </c>
      <c r="B3" t="str">
        <f>T("07/10/2014")</f>
        <v>07/10/2014</v>
      </c>
    </row>
    <row r="4" spans="1:4" x14ac:dyDescent="0.25">
      <c r="A4" t="s">
        <v>1</v>
      </c>
      <c r="B4" t="str">
        <f>T("00")</f>
        <v>00</v>
      </c>
    </row>
    <row r="5" spans="1:4" x14ac:dyDescent="0.25">
      <c r="A5" t="s">
        <v>2</v>
      </c>
      <c r="B5" t="str">
        <f>T("2013")</f>
        <v>2013</v>
      </c>
    </row>
    <row r="6" spans="1:4" x14ac:dyDescent="0.25">
      <c r="A6" t="s">
        <v>3</v>
      </c>
      <c r="B6" t="str">
        <f>T("ZZ_7Bureaux")</f>
        <v>ZZ_7Bureaux</v>
      </c>
    </row>
    <row r="7" spans="1:4" x14ac:dyDescent="0.25">
      <c r="A7" t="s">
        <v>4</v>
      </c>
      <c r="B7" t="str">
        <f>T("CS")</f>
        <v>CS</v>
      </c>
    </row>
    <row r="8" spans="1:4" x14ac:dyDescent="0.25">
      <c r="A8" t="s">
        <v>5</v>
      </c>
      <c r="B8" t="str">
        <f>T("I")</f>
        <v>I</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21049027139.841</v>
      </c>
      <c r="D17">
        <v>104189876</v>
      </c>
    </row>
    <row r="18" spans="1:4" x14ac:dyDescent="0.25">
      <c r="A18" t="str">
        <f>T("   080410")</f>
        <v xml:space="preserve">   080410</v>
      </c>
      <c r="B18" t="str">
        <f>T("   Dattes, fraîches ou sèches")</f>
        <v xml:space="preserve">   Dattes, fraîches ou sèches</v>
      </c>
      <c r="C18">
        <v>199158</v>
      </c>
      <c r="D18">
        <v>1800</v>
      </c>
    </row>
    <row r="19" spans="1:4" x14ac:dyDescent="0.25">
      <c r="A19" t="str">
        <f>T("   090112")</f>
        <v xml:space="preserve">   090112</v>
      </c>
      <c r="B19" t="str">
        <f>T("   Café, non torréfié, décaféiné")</f>
        <v xml:space="preserve">   Café, non torréfié, décaféiné</v>
      </c>
      <c r="C19">
        <v>3241098</v>
      </c>
      <c r="D19">
        <v>15718</v>
      </c>
    </row>
    <row r="20" spans="1:4" x14ac:dyDescent="0.25">
      <c r="A20" t="str">
        <f>T("   100590")</f>
        <v xml:space="preserve">   100590</v>
      </c>
      <c r="B20" t="str">
        <f>T("   Maïs (autre que de semence)")</f>
        <v xml:space="preserve">   Maïs (autre que de semence)</v>
      </c>
      <c r="C20">
        <v>62743795</v>
      </c>
      <c r="D20">
        <v>250000</v>
      </c>
    </row>
    <row r="21" spans="1:4" x14ac:dyDescent="0.25">
      <c r="A21" t="str">
        <f>T("   100620")</f>
        <v xml:space="preserve">   100620</v>
      </c>
      <c r="B21" t="str">
        <f>T("   Riz décortiqué [riz cargo ou riz brun]")</f>
        <v xml:space="preserve">   Riz décortiqué [riz cargo ou riz brun]</v>
      </c>
      <c r="C21">
        <v>133078.13399999999</v>
      </c>
      <c r="D21">
        <v>300</v>
      </c>
    </row>
    <row r="22" spans="1:4" x14ac:dyDescent="0.25">
      <c r="A22" t="str">
        <f>T("   100630")</f>
        <v xml:space="preserve">   100630</v>
      </c>
      <c r="B22" t="str">
        <f>T("   Riz semi-blanchi ou blanchi, même poli ou glacé")</f>
        <v xml:space="preserve">   Riz semi-blanchi ou blanchi, même poli ou glacé</v>
      </c>
      <c r="C22">
        <v>9116838247.6749992</v>
      </c>
      <c r="D22">
        <v>34275842</v>
      </c>
    </row>
    <row r="23" spans="1:4" x14ac:dyDescent="0.25">
      <c r="A23" t="str">
        <f>T("   100640")</f>
        <v xml:space="preserve">   100640</v>
      </c>
      <c r="B23" t="str">
        <f>T("   Riz en brisures")</f>
        <v xml:space="preserve">   Riz en brisures</v>
      </c>
      <c r="C23">
        <v>4655143869.6359997</v>
      </c>
      <c r="D23">
        <v>45208349</v>
      </c>
    </row>
    <row r="24" spans="1:4" x14ac:dyDescent="0.25">
      <c r="A24" t="str">
        <f>T("   110100")</f>
        <v xml:space="preserve">   110100</v>
      </c>
      <c r="B24" t="str">
        <f>T("   Farines de froment [blé] ou de méteil")</f>
        <v xml:space="preserve">   Farines de froment [blé] ou de méteil</v>
      </c>
      <c r="C24">
        <v>46132116.395000003</v>
      </c>
      <c r="D24">
        <v>171468</v>
      </c>
    </row>
    <row r="25" spans="1:4" x14ac:dyDescent="0.25">
      <c r="A25" t="str">
        <f>T("   150990")</f>
        <v xml:space="preserve">   150990</v>
      </c>
      <c r="B25"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25">
        <v>1559410</v>
      </c>
      <c r="D25">
        <v>100</v>
      </c>
    </row>
    <row r="26" spans="1:4" x14ac:dyDescent="0.25">
      <c r="A26" t="str">
        <f>T("   151000")</f>
        <v xml:space="preserve">   151000</v>
      </c>
      <c r="B26" t="s">
        <v>35</v>
      </c>
      <c r="C26">
        <v>289143</v>
      </c>
      <c r="D26">
        <v>1000</v>
      </c>
    </row>
    <row r="27" spans="1:4" x14ac:dyDescent="0.25">
      <c r="A27" t="str">
        <f>T("   160250")</f>
        <v xml:space="preserve">   160250</v>
      </c>
      <c r="B27" t="s">
        <v>43</v>
      </c>
      <c r="C27">
        <v>30122790</v>
      </c>
      <c r="D27">
        <v>38688</v>
      </c>
    </row>
    <row r="28" spans="1:4" x14ac:dyDescent="0.25">
      <c r="A28" t="str">
        <f>T("   170490")</f>
        <v xml:space="preserve">   170490</v>
      </c>
      <c r="B28" t="str">
        <f>T("   Sucreries sans cacao, y.c. le chocolat blanc (à l'excl. des gommes à mâcher)")</f>
        <v xml:space="preserve">   Sucreries sans cacao, y.c. le chocolat blanc (à l'excl. des gommes à mâcher)</v>
      </c>
      <c r="C28">
        <v>7140587</v>
      </c>
      <c r="D28">
        <v>32887</v>
      </c>
    </row>
    <row r="29" spans="1:4" x14ac:dyDescent="0.25">
      <c r="A29" t="str">
        <f>T("   190219")</f>
        <v xml:space="preserve">   190219</v>
      </c>
      <c r="B29" t="str">
        <f>T("   PÂTES ALIMENTAIRES NON-CUITES NI FARCIES NI AUTREMENT PRÉPARÉES, NE CONTENANT PAS D'OEUFS")</f>
        <v xml:space="preserve">   PÂTES ALIMENTAIRES NON-CUITES NI FARCIES NI AUTREMENT PRÉPARÉES, NE CONTENANT PAS D'OEUFS</v>
      </c>
      <c r="C29">
        <v>66538573</v>
      </c>
      <c r="D29">
        <v>451424</v>
      </c>
    </row>
    <row r="30" spans="1:4" x14ac:dyDescent="0.25">
      <c r="A30" t="str">
        <f>T("   190230")</f>
        <v xml:space="preserve">   190230</v>
      </c>
      <c r="B30" t="str">
        <f>T("   Pâtes alimentaires, cuites ou autrement préparées (à l'excl. des pâtes alimentaires farcies)")</f>
        <v xml:space="preserve">   Pâtes alimentaires, cuites ou autrement préparées (à l'excl. des pâtes alimentaires farcies)</v>
      </c>
      <c r="C30">
        <v>11669367</v>
      </c>
      <c r="D30">
        <v>55620</v>
      </c>
    </row>
    <row r="31" spans="1:4" x14ac:dyDescent="0.25">
      <c r="A31" t="str">
        <f>T("   190240")</f>
        <v xml:space="preserve">   190240</v>
      </c>
      <c r="B31" t="str">
        <f>T("   Couscous, même préparé")</f>
        <v xml:space="preserve">   Couscous, même préparé</v>
      </c>
      <c r="C31">
        <v>5823000</v>
      </c>
      <c r="D31">
        <v>19600</v>
      </c>
    </row>
    <row r="32" spans="1:4" x14ac:dyDescent="0.25">
      <c r="A32" t="str">
        <f>T("   190531")</f>
        <v xml:space="preserve">   190531</v>
      </c>
      <c r="B32" t="str">
        <f>T("   Biscuits additionnés d'édulcorants")</f>
        <v xml:space="preserve">   Biscuits additionnés d'édulcorants</v>
      </c>
      <c r="C32">
        <v>9928872</v>
      </c>
      <c r="D32">
        <v>45120</v>
      </c>
    </row>
    <row r="33" spans="1:4" x14ac:dyDescent="0.25">
      <c r="A33" t="str">
        <f>T("   190590")</f>
        <v xml:space="preserve">   190590</v>
      </c>
      <c r="B33" t="s">
        <v>52</v>
      </c>
      <c r="C33">
        <v>3468754</v>
      </c>
      <c r="D33">
        <v>14575</v>
      </c>
    </row>
    <row r="34" spans="1:4" x14ac:dyDescent="0.25">
      <c r="A34" t="str">
        <f>T("   200290")</f>
        <v xml:space="preserve">   200290</v>
      </c>
      <c r="B3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34">
        <v>341352</v>
      </c>
      <c r="D34">
        <v>2250</v>
      </c>
    </row>
    <row r="35" spans="1:4" x14ac:dyDescent="0.25">
      <c r="A35" t="str">
        <f>T("   200390")</f>
        <v xml:space="preserve">   200390</v>
      </c>
      <c r="B35"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35">
        <v>204809</v>
      </c>
      <c r="D35">
        <v>450</v>
      </c>
    </row>
    <row r="36" spans="1:4" x14ac:dyDescent="0.25">
      <c r="A36" t="str">
        <f>T("   200980")</f>
        <v xml:space="preserve">   200980</v>
      </c>
      <c r="B3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6">
        <v>25436356</v>
      </c>
      <c r="D36">
        <v>152593</v>
      </c>
    </row>
    <row r="37" spans="1:4" x14ac:dyDescent="0.25">
      <c r="A37" t="str">
        <f>T("   200990")</f>
        <v xml:space="preserve">   200990</v>
      </c>
      <c r="B3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7">
        <v>8372605</v>
      </c>
      <c r="D37">
        <v>47700</v>
      </c>
    </row>
    <row r="38" spans="1:4" x14ac:dyDescent="0.25">
      <c r="A38" t="str">
        <f>T("   210320")</f>
        <v xml:space="preserve">   210320</v>
      </c>
      <c r="B38" t="str">
        <f>T("   Tomato ketchup et autres sauces tomates")</f>
        <v xml:space="preserve">   Tomato ketchup et autres sauces tomates</v>
      </c>
      <c r="C38">
        <v>3146578</v>
      </c>
      <c r="D38">
        <v>16580</v>
      </c>
    </row>
    <row r="39" spans="1:4" x14ac:dyDescent="0.25">
      <c r="A39" t="str">
        <f>T("   210390")</f>
        <v xml:space="preserve">   210390</v>
      </c>
      <c r="B3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9">
        <v>8880000</v>
      </c>
      <c r="D39">
        <v>12320</v>
      </c>
    </row>
    <row r="40" spans="1:4" x14ac:dyDescent="0.25">
      <c r="A40" t="str">
        <f>T("   220110")</f>
        <v xml:space="preserve">   220110</v>
      </c>
      <c r="B40" t="str">
        <f>T("   Eaux minérales et eaux gazéifiées, non additionnées de sucre ou d'autres édulcorants ni aromatisées")</f>
        <v xml:space="preserve">   Eaux minérales et eaux gazéifiées, non additionnées de sucre ou d'autres édulcorants ni aromatisées</v>
      </c>
      <c r="C40">
        <v>79026</v>
      </c>
      <c r="D40">
        <v>1453</v>
      </c>
    </row>
    <row r="41" spans="1:4" x14ac:dyDescent="0.25">
      <c r="A41" t="str">
        <f>T("   220210")</f>
        <v xml:space="preserve">   220210</v>
      </c>
      <c r="B4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1">
        <v>5338215</v>
      </c>
      <c r="D41">
        <v>20000</v>
      </c>
    </row>
    <row r="42" spans="1:4" x14ac:dyDescent="0.25">
      <c r="A42" t="str">
        <f>T("   220290")</f>
        <v xml:space="preserve">   220290</v>
      </c>
      <c r="B42" t="str">
        <f>T("   BOISSONS NON-ALCOOLIQUES (À L'EXCL. DES EAUX, DES JUS DE FRUITS OU DE LÉGUMES AINSI QUE DU LAIT)")</f>
        <v xml:space="preserve">   BOISSONS NON-ALCOOLIQUES (À L'EXCL. DES EAUX, DES JUS DE FRUITS OU DE LÉGUMES AINSI QUE DU LAIT)</v>
      </c>
      <c r="C42">
        <v>21900552</v>
      </c>
      <c r="D42">
        <v>154408</v>
      </c>
    </row>
    <row r="43" spans="1:4" x14ac:dyDescent="0.25">
      <c r="A43" t="str">
        <f>T("   220830")</f>
        <v xml:space="preserve">   220830</v>
      </c>
      <c r="B43" t="str">
        <f>T("   Whiskies")</f>
        <v xml:space="preserve">   Whiskies</v>
      </c>
      <c r="C43">
        <v>17331142</v>
      </c>
      <c r="D43">
        <v>74490</v>
      </c>
    </row>
    <row r="44" spans="1:4" x14ac:dyDescent="0.25">
      <c r="A44" t="str">
        <f>T("   240220")</f>
        <v xml:space="preserve">   240220</v>
      </c>
      <c r="B44" t="str">
        <f>T("   Cigarettes contenant du tabac")</f>
        <v xml:space="preserve">   Cigarettes contenant du tabac</v>
      </c>
      <c r="C44">
        <v>866331162</v>
      </c>
      <c r="D44">
        <v>457639</v>
      </c>
    </row>
    <row r="45" spans="1:4" x14ac:dyDescent="0.25">
      <c r="A45" t="str">
        <f>T("   240290")</f>
        <v xml:space="preserve">   240290</v>
      </c>
      <c r="B45" t="str">
        <f>T("   Cigares, cigarillos et cigarettes, en succédanés du tabac")</f>
        <v xml:space="preserve">   Cigares, cigarillos et cigarettes, en succédanés du tabac</v>
      </c>
      <c r="C45">
        <v>68052979</v>
      </c>
      <c r="D45">
        <v>34571</v>
      </c>
    </row>
    <row r="46" spans="1:4" x14ac:dyDescent="0.25">
      <c r="A46" t="str">
        <f>T("   252010")</f>
        <v xml:space="preserve">   252010</v>
      </c>
      <c r="B46" t="str">
        <f>T("   Gypse; anhydrite")</f>
        <v xml:space="preserve">   Gypse; anhydrite</v>
      </c>
      <c r="C46">
        <v>5277045</v>
      </c>
      <c r="D46">
        <v>19040</v>
      </c>
    </row>
    <row r="47" spans="1:4" x14ac:dyDescent="0.25">
      <c r="A47" t="str">
        <f>T("   252329")</f>
        <v xml:space="preserve">   252329</v>
      </c>
      <c r="B47" t="str">
        <f>T("   Ciment Portland normal ou modéré (à l'excl. des ciments Portland blancs, même colorés artificiellement)")</f>
        <v xml:space="preserve">   Ciment Portland normal ou modéré (à l'excl. des ciments Portland blancs, même colorés artificiellement)</v>
      </c>
      <c r="C47">
        <v>1073120000</v>
      </c>
      <c r="D47">
        <v>12735520</v>
      </c>
    </row>
    <row r="48" spans="1:4" x14ac:dyDescent="0.25">
      <c r="A48" t="str">
        <f>T("   271011")</f>
        <v xml:space="preserve">   271011</v>
      </c>
      <c r="B4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8">
        <v>35424356</v>
      </c>
      <c r="D48">
        <v>73872</v>
      </c>
    </row>
    <row r="49" spans="1:4" x14ac:dyDescent="0.25">
      <c r="A49" t="str">
        <f>T("   271019")</f>
        <v xml:space="preserve">   271019</v>
      </c>
      <c r="B49" t="str">
        <f>T("   Huiles moyennes et préparations, de pétrole ou de minéraux bitumineux, n.d.a.")</f>
        <v xml:space="preserve">   Huiles moyennes et préparations, de pétrole ou de minéraux bitumineux, n.d.a.</v>
      </c>
      <c r="C49">
        <v>2430037377</v>
      </c>
      <c r="D49">
        <v>5104042</v>
      </c>
    </row>
    <row r="50" spans="1:4" x14ac:dyDescent="0.25">
      <c r="A50" t="str">
        <f>T("   280700")</f>
        <v xml:space="preserve">   280700</v>
      </c>
      <c r="B50" t="str">
        <f>T("   Acide sulfurique; oléum")</f>
        <v xml:space="preserve">   Acide sulfurique; oléum</v>
      </c>
      <c r="C50">
        <v>16834348</v>
      </c>
      <c r="D50">
        <v>106932</v>
      </c>
    </row>
    <row r="51" spans="1:4" x14ac:dyDescent="0.25">
      <c r="A51" t="str">
        <f>T("   281511")</f>
        <v xml:space="preserve">   281511</v>
      </c>
      <c r="B51" t="str">
        <f>T("   Hydroxyde de sodium [soude caustique], solide")</f>
        <v xml:space="preserve">   Hydroxyde de sodium [soude caustique], solide</v>
      </c>
      <c r="C51">
        <v>4938009</v>
      </c>
      <c r="D51">
        <v>25000</v>
      </c>
    </row>
    <row r="52" spans="1:4" x14ac:dyDescent="0.25">
      <c r="A52" t="str">
        <f>T("   283329")</f>
        <v xml:space="preserve">   283329</v>
      </c>
      <c r="B52" t="str">
        <f>T("   SULFATES (AUTRES QUE DE SODIUM, DE MAGNÉSIUM, D'ALUMINIUM, DE NICKEL, DE CUIVRE, DE BARYUM OU DE MERCURE)")</f>
        <v xml:space="preserve">   SULFATES (AUTRES QUE DE SODIUM, DE MAGNÉSIUM, D'ALUMINIUM, DE NICKEL, DE CUIVRE, DE BARYUM OU DE MERCURE)</v>
      </c>
      <c r="C52">
        <v>3000000</v>
      </c>
      <c r="D52">
        <v>10000</v>
      </c>
    </row>
    <row r="53" spans="1:4" x14ac:dyDescent="0.25">
      <c r="A53" t="str">
        <f>T("   320611")</f>
        <v xml:space="preserve">   320611</v>
      </c>
      <c r="B53" t="s">
        <v>98</v>
      </c>
      <c r="C53">
        <v>38589964</v>
      </c>
      <c r="D53">
        <v>20640</v>
      </c>
    </row>
    <row r="54" spans="1:4" x14ac:dyDescent="0.25">
      <c r="A54" t="str">
        <f>T("   320990")</f>
        <v xml:space="preserve">   320990</v>
      </c>
      <c r="B5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54">
        <v>6340000</v>
      </c>
      <c r="D54">
        <v>25280</v>
      </c>
    </row>
    <row r="55" spans="1:4" x14ac:dyDescent="0.25">
      <c r="A55" t="str">
        <f>T("   321590")</f>
        <v xml:space="preserve">   321590</v>
      </c>
      <c r="B55" t="str">
        <f>T("   Encres à écrire et à dessiner, même concentrées ou sous formes solides")</f>
        <v xml:space="preserve">   Encres à écrire et à dessiner, même concentrées ou sous formes solides</v>
      </c>
      <c r="C55">
        <v>3264366</v>
      </c>
      <c r="D55">
        <v>347</v>
      </c>
    </row>
    <row r="56" spans="1:4" x14ac:dyDescent="0.25">
      <c r="A56" t="str">
        <f>T("   330499")</f>
        <v xml:space="preserve">   330499</v>
      </c>
      <c r="B56" t="s">
        <v>106</v>
      </c>
      <c r="C56">
        <v>4958225</v>
      </c>
      <c r="D56">
        <v>21090</v>
      </c>
    </row>
    <row r="57" spans="1:4" x14ac:dyDescent="0.25">
      <c r="A57" t="str">
        <f>T("   340119")</f>
        <v xml:space="preserve">   340119</v>
      </c>
      <c r="B57" t="s">
        <v>108</v>
      </c>
      <c r="C57">
        <v>32090148</v>
      </c>
      <c r="D57">
        <v>92386</v>
      </c>
    </row>
    <row r="58" spans="1:4" x14ac:dyDescent="0.25">
      <c r="A58" t="str">
        <f>T("   340219")</f>
        <v xml:space="preserve">   340219</v>
      </c>
      <c r="B58"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58">
        <v>99579</v>
      </c>
      <c r="D58">
        <v>65</v>
      </c>
    </row>
    <row r="59" spans="1:4" x14ac:dyDescent="0.25">
      <c r="A59" t="str">
        <f>T("   370110")</f>
        <v xml:space="preserve">   370110</v>
      </c>
      <c r="B59" t="str">
        <f>T("   PLAQUES ET FILMS PLANS, PHOTOGRAPHIQUES, SENSIBILISÉS, NON-IMPRESSIONNÉS, POUR RAYONS X (SAUF EN PAPIER, EN CARTON OU EN MATIÈRES TEXTILES)")</f>
        <v xml:space="preserve">   PLAQUES ET FILMS PLANS, PHOTOGRAPHIQUES, SENSIBILISÉS, NON-IMPRESSIONNÉS, POUR RAYONS X (SAUF EN PAPIER, EN CARTON OU EN MATIÈRES TEXTILES)</v>
      </c>
      <c r="C59">
        <v>2187374</v>
      </c>
      <c r="D59">
        <v>102</v>
      </c>
    </row>
    <row r="60" spans="1:4" x14ac:dyDescent="0.25">
      <c r="A60" t="str">
        <f>T("   390190")</f>
        <v xml:space="preserve">   390190</v>
      </c>
      <c r="B60"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60">
        <v>15884874</v>
      </c>
      <c r="D60">
        <v>97697</v>
      </c>
    </row>
    <row r="61" spans="1:4" x14ac:dyDescent="0.25">
      <c r="A61" t="str">
        <f>T("   391740")</f>
        <v xml:space="preserve">   391740</v>
      </c>
      <c r="B61" t="str">
        <f>T("   Accessoires pour tubes ou tuyaux [joints, coudes, raccords, par exemple], en matières plastiques")</f>
        <v xml:space="preserve">   Accessoires pour tubes ou tuyaux [joints, coudes, raccords, par exemple], en matières plastiques</v>
      </c>
      <c r="C61">
        <v>6905000</v>
      </c>
      <c r="D61">
        <v>21170</v>
      </c>
    </row>
    <row r="62" spans="1:4" x14ac:dyDescent="0.25">
      <c r="A62" t="str">
        <f>T("   392330")</f>
        <v xml:space="preserve">   392330</v>
      </c>
      <c r="B62" t="str">
        <f>T("   Bonbonnes, bouteilles, flacons et articles simil. pour le transport ou l'emballage, en matières plastiques")</f>
        <v xml:space="preserve">   Bonbonnes, bouteilles, flacons et articles simil. pour le transport ou l'emballage, en matières plastiques</v>
      </c>
      <c r="C62">
        <v>4417909</v>
      </c>
      <c r="D62">
        <v>10564</v>
      </c>
    </row>
    <row r="63" spans="1:4" x14ac:dyDescent="0.25">
      <c r="A63" t="str">
        <f>T("   392350")</f>
        <v xml:space="preserve">   392350</v>
      </c>
      <c r="B63" t="str">
        <f>T("   Bouchons, couvercles, capsules et autres dispositifs de fermeture, en matières plastiques")</f>
        <v xml:space="preserve">   Bouchons, couvercles, capsules et autres dispositifs de fermeture, en matières plastiques</v>
      </c>
      <c r="C63">
        <v>12201170</v>
      </c>
      <c r="D63">
        <v>27666</v>
      </c>
    </row>
    <row r="64" spans="1:4" x14ac:dyDescent="0.25">
      <c r="A64" t="str">
        <f>T("   392410")</f>
        <v xml:space="preserve">   392410</v>
      </c>
      <c r="B64" t="str">
        <f>T("   Vaisselle et autres articles pour le service de la table ou de la cuisine, en matières plastiques")</f>
        <v xml:space="preserve">   Vaisselle et autres articles pour le service de la table ou de la cuisine, en matières plastiques</v>
      </c>
      <c r="C64">
        <v>407102</v>
      </c>
      <c r="D64">
        <v>800</v>
      </c>
    </row>
    <row r="65" spans="1:4" x14ac:dyDescent="0.25">
      <c r="A65" t="str">
        <f>T("   392490")</f>
        <v xml:space="preserve">   392490</v>
      </c>
      <c r="B65" t="s">
        <v>157</v>
      </c>
      <c r="C65">
        <v>629341</v>
      </c>
      <c r="D65">
        <v>75</v>
      </c>
    </row>
    <row r="66" spans="1:4" x14ac:dyDescent="0.25">
      <c r="A66" t="str">
        <f>T("   392690")</f>
        <v xml:space="preserve">   392690</v>
      </c>
      <c r="B66" t="str">
        <f>T("   Ouvrages en matières plastiques et ouvrages en autres matières du n° 3901 à 3914, n.d.a.")</f>
        <v xml:space="preserve">   Ouvrages en matières plastiques et ouvrages en autres matières du n° 3901 à 3914, n.d.a.</v>
      </c>
      <c r="C66">
        <v>7815004</v>
      </c>
      <c r="D66">
        <v>56667</v>
      </c>
    </row>
    <row r="67" spans="1:4" x14ac:dyDescent="0.25">
      <c r="A67" t="str">
        <f>T("   401110")</f>
        <v xml:space="preserve">   401110</v>
      </c>
      <c r="B6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7">
        <v>100730010</v>
      </c>
      <c r="D67">
        <v>42200</v>
      </c>
    </row>
    <row r="68" spans="1:4" x14ac:dyDescent="0.25">
      <c r="A68" t="str">
        <f>T("   401120")</f>
        <v xml:space="preserve">   401120</v>
      </c>
      <c r="B6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8">
        <v>61769934</v>
      </c>
      <c r="D68">
        <v>36493</v>
      </c>
    </row>
    <row r="69" spans="1:4" x14ac:dyDescent="0.25">
      <c r="A69" t="str">
        <f>T("   401199")</f>
        <v xml:space="preserve">   401199</v>
      </c>
      <c r="B69" t="s">
        <v>165</v>
      </c>
      <c r="C69">
        <v>1869486</v>
      </c>
      <c r="D69">
        <v>4000</v>
      </c>
    </row>
    <row r="70" spans="1:4" x14ac:dyDescent="0.25">
      <c r="A70" t="str">
        <f>T("   401220")</f>
        <v xml:space="preserve">   401220</v>
      </c>
      <c r="B70" t="str">
        <f>T("   Pneumatiques usagés, en caoutchouc")</f>
        <v xml:space="preserve">   Pneumatiques usagés, en caoutchouc</v>
      </c>
      <c r="C70">
        <v>5790815</v>
      </c>
      <c r="D70">
        <v>20500</v>
      </c>
    </row>
    <row r="71" spans="1:4" x14ac:dyDescent="0.25">
      <c r="A71" t="str">
        <f>T("   401310")</f>
        <v xml:space="preserve">   401310</v>
      </c>
      <c r="B7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71">
        <v>345000</v>
      </c>
      <c r="D71">
        <v>145</v>
      </c>
    </row>
    <row r="72" spans="1:4" x14ac:dyDescent="0.25">
      <c r="A72" t="str">
        <f>T("   420212")</f>
        <v xml:space="preserve">   420212</v>
      </c>
      <c r="B72"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72">
        <v>1684309</v>
      </c>
      <c r="D72">
        <v>5000</v>
      </c>
    </row>
    <row r="73" spans="1:4" x14ac:dyDescent="0.25">
      <c r="A73" t="str">
        <f>T("   420299")</f>
        <v xml:space="preserve">   420299</v>
      </c>
      <c r="B73" t="s">
        <v>174</v>
      </c>
      <c r="C73">
        <v>983345</v>
      </c>
      <c r="D73">
        <v>9520</v>
      </c>
    </row>
    <row r="74" spans="1:4" x14ac:dyDescent="0.25">
      <c r="A74" t="str">
        <f>T("   441900")</f>
        <v xml:space="preserve">   441900</v>
      </c>
      <c r="B74" t="s">
        <v>201</v>
      </c>
      <c r="C74">
        <v>444328</v>
      </c>
      <c r="D74">
        <v>1667</v>
      </c>
    </row>
    <row r="75" spans="1:4" x14ac:dyDescent="0.25">
      <c r="A75" t="str">
        <f>T("   480890")</f>
        <v xml:space="preserve">   480890</v>
      </c>
      <c r="B75" t="s">
        <v>219</v>
      </c>
      <c r="C75">
        <v>500000</v>
      </c>
      <c r="D75">
        <v>600</v>
      </c>
    </row>
    <row r="76" spans="1:4" x14ac:dyDescent="0.25">
      <c r="A76" t="str">
        <f>T("   481014")</f>
        <v xml:space="preserve">   481014</v>
      </c>
      <c r="B76" t="s">
        <v>221</v>
      </c>
      <c r="C76">
        <v>295252</v>
      </c>
      <c r="D76">
        <v>57</v>
      </c>
    </row>
    <row r="77" spans="1:4" x14ac:dyDescent="0.25">
      <c r="A77" t="str">
        <f>T("   481820")</f>
        <v xml:space="preserve">   481820</v>
      </c>
      <c r="B77"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7">
        <v>238719</v>
      </c>
      <c r="D77">
        <v>300</v>
      </c>
    </row>
    <row r="78" spans="1:4" x14ac:dyDescent="0.25">
      <c r="A78" t="str">
        <f>T("   481890")</f>
        <v xml:space="preserve">   481890</v>
      </c>
      <c r="B78" t="s">
        <v>232</v>
      </c>
      <c r="C78">
        <v>236914</v>
      </c>
      <c r="D78">
        <v>1485</v>
      </c>
    </row>
    <row r="79" spans="1:4" x14ac:dyDescent="0.25">
      <c r="A79" t="str">
        <f>T("   481910")</f>
        <v xml:space="preserve">   481910</v>
      </c>
      <c r="B79" t="str">
        <f>T("   Boîtes et caisses en papier ou en carton ondulé")</f>
        <v xml:space="preserve">   Boîtes et caisses en papier ou en carton ondulé</v>
      </c>
      <c r="C79">
        <v>164796</v>
      </c>
      <c r="D79">
        <v>19</v>
      </c>
    </row>
    <row r="80" spans="1:4" x14ac:dyDescent="0.25">
      <c r="A80" t="str">
        <f>T("   482090")</f>
        <v xml:space="preserve">   482090</v>
      </c>
      <c r="B80" t="s">
        <v>234</v>
      </c>
      <c r="C80">
        <v>149369</v>
      </c>
      <c r="D80">
        <v>600</v>
      </c>
    </row>
    <row r="81" spans="1:4" x14ac:dyDescent="0.25">
      <c r="A81" t="str">
        <f>T("   490199")</f>
        <v xml:space="preserve">   490199</v>
      </c>
      <c r="B8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1">
        <v>34505091</v>
      </c>
      <c r="D81">
        <v>13795</v>
      </c>
    </row>
    <row r="82" spans="1:4" x14ac:dyDescent="0.25">
      <c r="A82" t="str">
        <f>T("   491000")</f>
        <v xml:space="preserve">   491000</v>
      </c>
      <c r="B82" t="str">
        <f>T("   Calendriers de tous genres, imprimés, y.c. les blocs de calendriers à effeuiller")</f>
        <v xml:space="preserve">   Calendriers de tous genres, imprimés, y.c. les blocs de calendriers à effeuiller</v>
      </c>
      <c r="C82">
        <v>741057</v>
      </c>
      <c r="D82">
        <v>219.5</v>
      </c>
    </row>
    <row r="83" spans="1:4" x14ac:dyDescent="0.25">
      <c r="A83" t="str">
        <f>T("   491110")</f>
        <v xml:space="preserve">   491110</v>
      </c>
      <c r="B83" t="str">
        <f>T("   Imprimés publicitaires, catalogues commerciaux et simil.")</f>
        <v xml:space="preserve">   Imprimés publicitaires, catalogues commerciaux et simil.</v>
      </c>
      <c r="C83">
        <v>5329</v>
      </c>
      <c r="D83">
        <v>4</v>
      </c>
    </row>
    <row r="84" spans="1:4" x14ac:dyDescent="0.25">
      <c r="A84" t="str">
        <f>T("   491199")</f>
        <v xml:space="preserve">   491199</v>
      </c>
      <c r="B84" t="str">
        <f>T("   Imprimés, n.d.a.")</f>
        <v xml:space="preserve">   Imprimés, n.d.a.</v>
      </c>
      <c r="C84">
        <v>138543</v>
      </c>
      <c r="D84">
        <v>271</v>
      </c>
    </row>
    <row r="85" spans="1:4" x14ac:dyDescent="0.25">
      <c r="A85" t="str">
        <f>T("   520852")</f>
        <v xml:space="preserve">   520852</v>
      </c>
      <c r="B85" t="str">
        <f>T("   Tissus de coton, imprimés, à armure toile, contenant &gt;= 85% en poids de coton, d'un poids &gt; 100 g/m² mais &lt;= 200 g/m²")</f>
        <v xml:space="preserve">   Tissus de coton, imprimés, à armure toile, contenant &gt;= 85% en poids de coton, d'un poids &gt; 100 g/m² mais &lt;= 200 g/m²</v>
      </c>
      <c r="C85">
        <v>17000000</v>
      </c>
      <c r="D85">
        <v>20700</v>
      </c>
    </row>
    <row r="86" spans="1:4" x14ac:dyDescent="0.25">
      <c r="A86" t="str">
        <f>T("   560110")</f>
        <v xml:space="preserve">   560110</v>
      </c>
      <c r="B86" t="str">
        <f>T("   Serviettes et tampons hygiéniques, couches pour bébés et articles hygiéniques simil., en ouates")</f>
        <v xml:space="preserve">   Serviettes et tampons hygiéniques, couches pour bébés et articles hygiéniques simil., en ouates</v>
      </c>
      <c r="C86">
        <v>630000</v>
      </c>
      <c r="D86">
        <v>1570</v>
      </c>
    </row>
    <row r="87" spans="1:4" x14ac:dyDescent="0.25">
      <c r="A87" t="str">
        <f>T("   570390")</f>
        <v xml:space="preserve">   570390</v>
      </c>
      <c r="B87"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7">
        <v>2489480</v>
      </c>
      <c r="D87">
        <v>20000</v>
      </c>
    </row>
    <row r="88" spans="1:4" x14ac:dyDescent="0.25">
      <c r="A88" t="str">
        <f>T("   580219")</f>
        <v xml:space="preserve">   580219</v>
      </c>
      <c r="B88"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88">
        <v>17000000</v>
      </c>
      <c r="D88">
        <v>19622</v>
      </c>
    </row>
    <row r="89" spans="1:4" x14ac:dyDescent="0.25">
      <c r="A89" t="str">
        <f>T("   610910")</f>
        <v xml:space="preserve">   610910</v>
      </c>
      <c r="B89" t="str">
        <f>T("   T-shirts et maillots de corps, en bonneterie, de coton,")</f>
        <v xml:space="preserve">   T-shirts et maillots de corps, en bonneterie, de coton,</v>
      </c>
      <c r="C89">
        <v>556648</v>
      </c>
      <c r="D89">
        <v>341</v>
      </c>
    </row>
    <row r="90" spans="1:4" x14ac:dyDescent="0.25">
      <c r="A90" t="str">
        <f>T("   610990")</f>
        <v xml:space="preserve">   610990</v>
      </c>
      <c r="B90" t="str">
        <f>T("   T-shirts et maillots de corps, en bonneterie, de matières textiles (sauf de coton)")</f>
        <v xml:space="preserve">   T-shirts et maillots de corps, en bonneterie, de matières textiles (sauf de coton)</v>
      </c>
      <c r="C90">
        <v>903199</v>
      </c>
      <c r="D90">
        <v>1169</v>
      </c>
    </row>
    <row r="91" spans="1:4" x14ac:dyDescent="0.25">
      <c r="A91" t="str">
        <f>T("   611490")</f>
        <v xml:space="preserve">   611490</v>
      </c>
      <c r="B91"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91">
        <v>1611843</v>
      </c>
      <c r="D91">
        <v>9700</v>
      </c>
    </row>
    <row r="92" spans="1:4" x14ac:dyDescent="0.25">
      <c r="A92" t="str">
        <f>T("   620590")</f>
        <v xml:space="preserve">   620590</v>
      </c>
      <c r="B9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2">
        <v>1866428</v>
      </c>
      <c r="D92">
        <v>1710</v>
      </c>
    </row>
    <row r="93" spans="1:4" x14ac:dyDescent="0.25">
      <c r="A93" t="str">
        <f>T("   621040")</f>
        <v xml:space="preserve">   621040</v>
      </c>
      <c r="B93" t="s">
        <v>294</v>
      </c>
      <c r="C93">
        <v>112433</v>
      </c>
      <c r="D93">
        <v>500</v>
      </c>
    </row>
    <row r="94" spans="1:4" x14ac:dyDescent="0.25">
      <c r="A94" t="str">
        <f>T("   630533")</f>
        <v xml:space="preserve">   630533</v>
      </c>
      <c r="B94"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4">
        <v>3517600</v>
      </c>
      <c r="D94">
        <v>5459</v>
      </c>
    </row>
    <row r="95" spans="1:4" x14ac:dyDescent="0.25">
      <c r="A95" t="str">
        <f>T("   630900")</f>
        <v xml:space="preserve">   630900</v>
      </c>
      <c r="B95" t="s">
        <v>300</v>
      </c>
      <c r="C95">
        <v>166378105</v>
      </c>
      <c r="D95">
        <v>309325</v>
      </c>
    </row>
    <row r="96" spans="1:4" x14ac:dyDescent="0.25">
      <c r="A96" t="str">
        <f>T("   640590")</f>
        <v xml:space="preserve">   640590</v>
      </c>
      <c r="B96" t="s">
        <v>311</v>
      </c>
      <c r="C96">
        <v>647433</v>
      </c>
      <c r="D96">
        <v>5000</v>
      </c>
    </row>
    <row r="97" spans="1:4" x14ac:dyDescent="0.25">
      <c r="A97" t="str">
        <f>T("   650590")</f>
        <v xml:space="preserve">   650590</v>
      </c>
      <c r="B97" t="s">
        <v>312</v>
      </c>
      <c r="C97">
        <v>111900</v>
      </c>
      <c r="D97">
        <v>650</v>
      </c>
    </row>
    <row r="98" spans="1:4" x14ac:dyDescent="0.25">
      <c r="A98" t="str">
        <f>T("   660199")</f>
        <v xml:space="preserve">   660199</v>
      </c>
      <c r="B98"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98">
        <v>111900</v>
      </c>
      <c r="D98">
        <v>261</v>
      </c>
    </row>
    <row r="99" spans="1:4" x14ac:dyDescent="0.25">
      <c r="A99" t="str">
        <f>T("   690510")</f>
        <v xml:space="preserve">   690510</v>
      </c>
      <c r="B99" t="str">
        <f>T("   Tuiles")</f>
        <v xml:space="preserve">   Tuiles</v>
      </c>
      <c r="C99">
        <v>7150244</v>
      </c>
      <c r="D99">
        <v>7499</v>
      </c>
    </row>
    <row r="100" spans="1:4" x14ac:dyDescent="0.25">
      <c r="A100" t="str">
        <f>T("   690790")</f>
        <v xml:space="preserve">   690790</v>
      </c>
      <c r="B100" t="s">
        <v>335</v>
      </c>
      <c r="C100">
        <v>111749133</v>
      </c>
      <c r="D100">
        <v>936200</v>
      </c>
    </row>
    <row r="101" spans="1:4" x14ac:dyDescent="0.25">
      <c r="A101" t="str">
        <f>T("   690890")</f>
        <v xml:space="preserve">   690890</v>
      </c>
      <c r="B101" t="s">
        <v>336</v>
      </c>
      <c r="C101">
        <v>119698897</v>
      </c>
      <c r="D101">
        <v>931587</v>
      </c>
    </row>
    <row r="102" spans="1:4" x14ac:dyDescent="0.25">
      <c r="A102" t="str">
        <f>T("   691090")</f>
        <v xml:space="preserve">   691090</v>
      </c>
      <c r="B102" t="s">
        <v>339</v>
      </c>
      <c r="C102">
        <v>55710321</v>
      </c>
      <c r="D102">
        <v>226156</v>
      </c>
    </row>
    <row r="103" spans="1:4" x14ac:dyDescent="0.25">
      <c r="A103" t="str">
        <f>T("   691200")</f>
        <v xml:space="preserve">   691200</v>
      </c>
      <c r="B103" t="s">
        <v>342</v>
      </c>
      <c r="C103">
        <v>248948</v>
      </c>
      <c r="D103">
        <v>20</v>
      </c>
    </row>
    <row r="104" spans="1:4" x14ac:dyDescent="0.25">
      <c r="A104" t="str">
        <f>T("   691410")</f>
        <v xml:space="preserve">   691410</v>
      </c>
      <c r="B104" t="str">
        <f>T("   Ouvrages en porcelaine n.d.a.")</f>
        <v xml:space="preserve">   Ouvrages en porcelaine n.d.a.</v>
      </c>
      <c r="C104">
        <v>5458000</v>
      </c>
      <c r="D104">
        <v>5000</v>
      </c>
    </row>
    <row r="105" spans="1:4" x14ac:dyDescent="0.25">
      <c r="A105" t="str">
        <f>T("   691490")</f>
        <v xml:space="preserve">   691490</v>
      </c>
      <c r="B105" t="str">
        <f>T("   Ouvrages en céramique autres que la porcelaine n.d.a.")</f>
        <v xml:space="preserve">   Ouvrages en céramique autres que la porcelaine n.d.a.</v>
      </c>
      <c r="C105">
        <v>2146928</v>
      </c>
      <c r="D105">
        <v>13367</v>
      </c>
    </row>
    <row r="106" spans="1:4" x14ac:dyDescent="0.25">
      <c r="A106" t="str">
        <f>T("   701110")</f>
        <v xml:space="preserve">   701110</v>
      </c>
      <c r="B106"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106">
        <v>1512696</v>
      </c>
      <c r="D106">
        <v>2000</v>
      </c>
    </row>
    <row r="107" spans="1:4" x14ac:dyDescent="0.25">
      <c r="A107" t="str">
        <f>T("   701328")</f>
        <v xml:space="preserve">   701328</v>
      </c>
      <c r="B107" t="str">
        <f>T("   VERRES À BOIRE À PIED (À L'EXCL. DES VERRES EN VITROCÉRAME ET EN CRISTAL AU PLOMB)")</f>
        <v xml:space="preserve">   VERRES À BOIRE À PIED (À L'EXCL. DES VERRES EN VITROCÉRAME ET EN CRISTAL AU PLOMB)</v>
      </c>
      <c r="C107">
        <v>448106</v>
      </c>
      <c r="D107">
        <v>500</v>
      </c>
    </row>
    <row r="108" spans="1:4" x14ac:dyDescent="0.25">
      <c r="A108" t="str">
        <f>T("   702000")</f>
        <v xml:space="preserve">   702000</v>
      </c>
      <c r="B108" t="str">
        <f>T("   Ouvrages en verre n.d.a.")</f>
        <v xml:space="preserve">   Ouvrages en verre n.d.a.</v>
      </c>
      <c r="C108">
        <v>573965</v>
      </c>
      <c r="D108">
        <v>2223</v>
      </c>
    </row>
    <row r="109" spans="1:4" x14ac:dyDescent="0.25">
      <c r="A109" t="str">
        <f>T("   720917")</f>
        <v xml:space="preserve">   720917</v>
      </c>
      <c r="B109"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09">
        <v>254567055</v>
      </c>
      <c r="D109">
        <v>677275</v>
      </c>
    </row>
    <row r="110" spans="1:4" x14ac:dyDescent="0.25">
      <c r="A110" t="str">
        <f>T("   721499")</f>
        <v xml:space="preserve">   721499</v>
      </c>
      <c r="B110" t="s">
        <v>367</v>
      </c>
      <c r="C110">
        <v>26080508</v>
      </c>
      <c r="D110">
        <v>75189</v>
      </c>
    </row>
    <row r="111" spans="1:4" x14ac:dyDescent="0.25">
      <c r="A111" t="str">
        <f>T("   721621")</f>
        <v xml:space="preserve">   721621</v>
      </c>
      <c r="B111" t="str">
        <f>T("   PROFILÉS EN L EN FER OU ACIERS NON ALLIÉS, SIMPLEMENT LAMINÉS OU FILÉS À CHAUD, HAUTEUR &lt; 80 MM")</f>
        <v xml:space="preserve">   PROFILÉS EN L EN FER OU ACIERS NON ALLIÉS, SIMPLEMENT LAMINÉS OU FILÉS À CHAUD, HAUTEUR &lt; 80 MM</v>
      </c>
      <c r="C111">
        <v>31188122</v>
      </c>
      <c r="D111">
        <v>89920</v>
      </c>
    </row>
    <row r="112" spans="1:4" x14ac:dyDescent="0.25">
      <c r="A112" t="str">
        <f>T("   732394")</f>
        <v xml:space="preserve">   732394</v>
      </c>
      <c r="B112" t="s">
        <v>389</v>
      </c>
      <c r="C112">
        <v>1379571</v>
      </c>
      <c r="D112">
        <v>1085</v>
      </c>
    </row>
    <row r="113" spans="1:4" x14ac:dyDescent="0.25">
      <c r="A113" t="str">
        <f>T("   732399")</f>
        <v xml:space="preserve">   732399</v>
      </c>
      <c r="B113" t="s">
        <v>390</v>
      </c>
      <c r="C113">
        <v>4164507</v>
      </c>
      <c r="D113">
        <v>13680</v>
      </c>
    </row>
    <row r="114" spans="1:4" x14ac:dyDescent="0.25">
      <c r="A114" t="str">
        <f>T("   761090")</f>
        <v xml:space="preserve">   761090</v>
      </c>
      <c r="B114"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14">
        <v>225000</v>
      </c>
      <c r="D114">
        <v>850</v>
      </c>
    </row>
    <row r="115" spans="1:4" x14ac:dyDescent="0.25">
      <c r="A115" t="str">
        <f>T("   761519")</f>
        <v xml:space="preserve">   761519</v>
      </c>
      <c r="B115" t="s">
        <v>397</v>
      </c>
      <c r="C115">
        <v>1678496</v>
      </c>
      <c r="D115">
        <v>2500</v>
      </c>
    </row>
    <row r="116" spans="1:4" x14ac:dyDescent="0.25">
      <c r="A116" t="str">
        <f>T("   761699")</f>
        <v xml:space="preserve">   761699</v>
      </c>
      <c r="B116" t="str">
        <f>T("   Ouvrages en aluminium, n.d.a.")</f>
        <v xml:space="preserve">   Ouvrages en aluminium, n.d.a.</v>
      </c>
      <c r="C116">
        <v>483990</v>
      </c>
      <c r="D116">
        <v>1170</v>
      </c>
    </row>
    <row r="117" spans="1:4" x14ac:dyDescent="0.25">
      <c r="A117" t="str">
        <f>T("   830140")</f>
        <v xml:space="preserve">   830140</v>
      </c>
      <c r="B117"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17">
        <v>4636802</v>
      </c>
      <c r="D117">
        <v>8301</v>
      </c>
    </row>
    <row r="118" spans="1:4" x14ac:dyDescent="0.25">
      <c r="A118" t="str">
        <f>T("   830629")</f>
        <v xml:space="preserve">   830629</v>
      </c>
      <c r="B118"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118">
        <v>662520</v>
      </c>
      <c r="D118">
        <v>610</v>
      </c>
    </row>
    <row r="119" spans="1:4" x14ac:dyDescent="0.25">
      <c r="A119" t="str">
        <f>T("   841381")</f>
        <v xml:space="preserve">   841381</v>
      </c>
      <c r="B119" t="s">
        <v>420</v>
      </c>
      <c r="C119">
        <v>217218</v>
      </c>
      <c r="D119">
        <v>8</v>
      </c>
    </row>
    <row r="120" spans="1:4" x14ac:dyDescent="0.25">
      <c r="A120" t="str">
        <f>T("   841459")</f>
        <v xml:space="preserve">   841459</v>
      </c>
      <c r="B12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20">
        <v>2838383</v>
      </c>
      <c r="D120">
        <v>8212</v>
      </c>
    </row>
    <row r="121" spans="1:4" x14ac:dyDescent="0.25">
      <c r="A121" t="str">
        <f>T("   841510")</f>
        <v xml:space="preserve">   841510</v>
      </c>
      <c r="B121" t="s">
        <v>422</v>
      </c>
      <c r="C121">
        <v>32276956</v>
      </c>
      <c r="D121">
        <v>13354</v>
      </c>
    </row>
    <row r="122" spans="1:4" x14ac:dyDescent="0.25">
      <c r="A122" t="str">
        <f>T("   841822")</f>
        <v xml:space="preserve">   841822</v>
      </c>
      <c r="B122" t="str">
        <f>T("   Réfrigérateurs ménagers à absorption, électriques")</f>
        <v xml:space="preserve">   Réfrigérateurs ménagers à absorption, électriques</v>
      </c>
      <c r="C122">
        <v>7856799</v>
      </c>
      <c r="D122">
        <v>6119</v>
      </c>
    </row>
    <row r="123" spans="1:4" x14ac:dyDescent="0.25">
      <c r="A123" t="str">
        <f>T("   841829")</f>
        <v xml:space="preserve">   841829</v>
      </c>
      <c r="B123" t="str">
        <f>T("   Réfrigérateurs ménagers à absorption, non-électriques")</f>
        <v xml:space="preserve">   Réfrigérateurs ménagers à absorption, non-électriques</v>
      </c>
      <c r="C123">
        <v>26222956</v>
      </c>
      <c r="D123">
        <v>33558</v>
      </c>
    </row>
    <row r="124" spans="1:4" x14ac:dyDescent="0.25">
      <c r="A124" t="str">
        <f>T("   842123")</f>
        <v xml:space="preserve">   842123</v>
      </c>
      <c r="B12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24">
        <v>15435</v>
      </c>
      <c r="D124">
        <v>7</v>
      </c>
    </row>
    <row r="125" spans="1:4" x14ac:dyDescent="0.25">
      <c r="A125" t="str">
        <f>T("   843510")</f>
        <v xml:space="preserve">   843510</v>
      </c>
      <c r="B125" t="s">
        <v>437</v>
      </c>
      <c r="C125">
        <v>93250</v>
      </c>
      <c r="D125">
        <v>75</v>
      </c>
    </row>
    <row r="126" spans="1:4" x14ac:dyDescent="0.25">
      <c r="A126" t="str">
        <f>T("   844317")</f>
        <v xml:space="preserve">   844317</v>
      </c>
      <c r="B126" t="str">
        <f>T("   MACHINES ET APPAREILS À IMPRIMER, HÉLIOGRAPHIQUES")</f>
        <v xml:space="preserve">   MACHINES ET APPAREILS À IMPRIMER, HÉLIOGRAPHIQUES</v>
      </c>
      <c r="C126">
        <v>8384946</v>
      </c>
      <c r="D126">
        <v>2686</v>
      </c>
    </row>
    <row r="127" spans="1:4" x14ac:dyDescent="0.25">
      <c r="A127" t="str">
        <f>T("   844331")</f>
        <v xml:space="preserve">   844331</v>
      </c>
      <c r="B127" t="str">
        <f>T("   MACHINES QUI ASSURENT AU MOINS DEUX DES FONCTIONS SUIVANTES: IMPRESSION, COPIE OU TRANSMISSION DE TÉLÉCOPIE, APTES À ÊTRE CONNECTÉES À UNE MACHINE AUTOMATIQUE DE TRAITEMENT DE L'INFORMATION OU À UN RÉSEAU")</f>
        <v xml:space="preserve">   MACHINES QUI ASSURENT AU MOINS DEUX DES FONCTIONS SUIVANTES: IMPRESSION, COPIE OU TRANSMISSION DE TÉLÉCOPIE, APTES À ÊTRE CONNECTÉES À UNE MACHINE AUTOMATIQUE DE TRAITEMENT DE L'INFORMATION OU À UN RÉSEAU</v>
      </c>
      <c r="C127">
        <v>4307361</v>
      </c>
      <c r="D127">
        <v>520</v>
      </c>
    </row>
    <row r="128" spans="1:4" x14ac:dyDescent="0.25">
      <c r="A128" t="str">
        <f>T("   845019")</f>
        <v xml:space="preserve">   845019</v>
      </c>
      <c r="B128"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128">
        <v>5749065</v>
      </c>
      <c r="D128">
        <v>5226</v>
      </c>
    </row>
    <row r="129" spans="1:4" x14ac:dyDescent="0.25">
      <c r="A129" t="str">
        <f>T("   846890")</f>
        <v xml:space="preserve">   846890</v>
      </c>
      <c r="B129" t="str">
        <f>T("   Parties de machines et appareils pour le brasage, le soudage, la trempe artificielle non-électriques, n.d.a.")</f>
        <v xml:space="preserve">   Parties de machines et appareils pour le brasage, le soudage, la trempe artificielle non-électriques, n.d.a.</v>
      </c>
      <c r="C129">
        <v>12450000</v>
      </c>
      <c r="D129">
        <v>6000</v>
      </c>
    </row>
    <row r="130" spans="1:4" x14ac:dyDescent="0.25">
      <c r="A130" t="str">
        <f>T("   847010")</f>
        <v xml:space="preserve">   847010</v>
      </c>
      <c r="B130" t="s">
        <v>457</v>
      </c>
      <c r="C130">
        <v>3202338</v>
      </c>
      <c r="D130">
        <v>654</v>
      </c>
    </row>
    <row r="131" spans="1:4" x14ac:dyDescent="0.25">
      <c r="A131" t="str">
        <f>T("   847030")</f>
        <v xml:space="preserve">   847030</v>
      </c>
      <c r="B131" t="str">
        <f>T("   Machines à calculer autres qu'électroniques")</f>
        <v xml:space="preserve">   Machines à calculer autres qu'électroniques</v>
      </c>
      <c r="C131">
        <v>1102054</v>
      </c>
      <c r="D131">
        <v>117</v>
      </c>
    </row>
    <row r="132" spans="1:4" x14ac:dyDescent="0.25">
      <c r="A132" t="str">
        <f>T("   847141")</f>
        <v xml:space="preserve">   847141</v>
      </c>
      <c r="B132" t="s">
        <v>458</v>
      </c>
      <c r="C132">
        <v>46870096</v>
      </c>
      <c r="D132">
        <v>18786</v>
      </c>
    </row>
    <row r="133" spans="1:4" x14ac:dyDescent="0.25">
      <c r="A133" t="str">
        <f>T("   847180")</f>
        <v xml:space="preserve">   847180</v>
      </c>
      <c r="B13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33">
        <v>10157920</v>
      </c>
      <c r="D133">
        <v>16332</v>
      </c>
    </row>
    <row r="134" spans="1:4" x14ac:dyDescent="0.25">
      <c r="A134" t="str">
        <f>T("   847190")</f>
        <v xml:space="preserve">   847190</v>
      </c>
      <c r="B13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34">
        <v>22529663</v>
      </c>
      <c r="D134">
        <v>2961</v>
      </c>
    </row>
    <row r="135" spans="1:4" x14ac:dyDescent="0.25">
      <c r="A135" t="str">
        <f>T("   847290")</f>
        <v xml:space="preserve">   847290</v>
      </c>
      <c r="B135" t="str">
        <f>T("   Machines et appareils de bureau, n.d.a.")</f>
        <v xml:space="preserve">   Machines et appareils de bureau, n.d.a.</v>
      </c>
      <c r="C135">
        <v>392700</v>
      </c>
      <c r="D135">
        <v>1000</v>
      </c>
    </row>
    <row r="136" spans="1:4" x14ac:dyDescent="0.25">
      <c r="A136" t="str">
        <f>T("   847330")</f>
        <v xml:space="preserve">   847330</v>
      </c>
      <c r="B136" t="str">
        <f>T("   Parties et accessoires pour machines automatiques de traitement de l'information ou pour autres machines du n° 8471, n.d.a.")</f>
        <v xml:space="preserve">   Parties et accessoires pour machines automatiques de traitement de l'information ou pour autres machines du n° 8471, n.d.a.</v>
      </c>
      <c r="C136">
        <v>512633</v>
      </c>
      <c r="D136">
        <v>122.3</v>
      </c>
    </row>
    <row r="137" spans="1:4" x14ac:dyDescent="0.25">
      <c r="A137" t="str">
        <f>T("   847439")</f>
        <v xml:space="preserve">   847439</v>
      </c>
      <c r="B137"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37">
        <v>1476276</v>
      </c>
      <c r="D137">
        <v>4566</v>
      </c>
    </row>
    <row r="138" spans="1:4" x14ac:dyDescent="0.25">
      <c r="A138" t="str">
        <f>T("   847490")</f>
        <v xml:space="preserve">   847490</v>
      </c>
      <c r="B138" t="str">
        <f>T("   Parties des machines et appareils pour le travail des matières minérales du n° 8474, n.d.a.")</f>
        <v xml:space="preserve">   Parties des machines et appareils pour le travail des matières minérales du n° 8474, n.d.a.</v>
      </c>
      <c r="C138">
        <v>5257690</v>
      </c>
      <c r="D138">
        <v>13059</v>
      </c>
    </row>
    <row r="139" spans="1:4" x14ac:dyDescent="0.25">
      <c r="A139" t="str">
        <f>T("   850161")</f>
        <v xml:space="preserve">   850161</v>
      </c>
      <c r="B139" t="str">
        <f>T("   Alternateurs, puissance &lt;= 75 kVA")</f>
        <v xml:space="preserve">   Alternateurs, puissance &lt;= 75 kVA</v>
      </c>
      <c r="C139">
        <v>4500000</v>
      </c>
      <c r="D139">
        <v>3290</v>
      </c>
    </row>
    <row r="140" spans="1:4" x14ac:dyDescent="0.25">
      <c r="A140" t="str">
        <f>T("   850211")</f>
        <v xml:space="preserve">   850211</v>
      </c>
      <c r="B140" t="s">
        <v>470</v>
      </c>
      <c r="C140">
        <v>1969436</v>
      </c>
      <c r="D140">
        <v>1741</v>
      </c>
    </row>
    <row r="141" spans="1:4" x14ac:dyDescent="0.25">
      <c r="A141" t="str">
        <f>T("   850220")</f>
        <v xml:space="preserve">   850220</v>
      </c>
      <c r="B141" t="s">
        <v>472</v>
      </c>
      <c r="C141">
        <v>9489706</v>
      </c>
      <c r="D141">
        <v>20085</v>
      </c>
    </row>
    <row r="142" spans="1:4" x14ac:dyDescent="0.25">
      <c r="A142" t="str">
        <f>T("   850239")</f>
        <v xml:space="preserve">   850239</v>
      </c>
      <c r="B142" t="str">
        <f>T("   Groupes électrogènes (autres qu'à énergie éolienne et à moteurs à piston)")</f>
        <v xml:space="preserve">   Groupes électrogènes (autres qu'à énergie éolienne et à moteurs à piston)</v>
      </c>
      <c r="C142">
        <v>10839537</v>
      </c>
      <c r="D142">
        <v>12050</v>
      </c>
    </row>
    <row r="143" spans="1:4" x14ac:dyDescent="0.25">
      <c r="A143" t="str">
        <f>T("   850680")</f>
        <v xml:space="preserve">   850680</v>
      </c>
      <c r="B14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43">
        <v>9398048</v>
      </c>
      <c r="D143">
        <v>17595</v>
      </c>
    </row>
    <row r="144" spans="1:4" x14ac:dyDescent="0.25">
      <c r="A144" t="str">
        <f>T("   850780")</f>
        <v xml:space="preserve">   850780</v>
      </c>
      <c r="B144" t="str">
        <f>T("   Accumulateurs électriques (sauf hors d'usage et autres qu'au plomb, au nickel-cadmium ou au nickel-fer)")</f>
        <v xml:space="preserve">   Accumulateurs électriques (sauf hors d'usage et autres qu'au plomb, au nickel-cadmium ou au nickel-fer)</v>
      </c>
      <c r="C144">
        <v>33918323</v>
      </c>
      <c r="D144">
        <v>71299</v>
      </c>
    </row>
    <row r="145" spans="1:4" x14ac:dyDescent="0.25">
      <c r="A145" t="str">
        <f>T("   851310")</f>
        <v xml:space="preserve">   851310</v>
      </c>
      <c r="B145" t="str">
        <f>T("   Lampes électriques portatives, destinées à fonctionner au moyen de leur propre source d'énergie")</f>
        <v xml:space="preserve">   Lampes électriques portatives, destinées à fonctionner au moyen de leur propre source d'énergie</v>
      </c>
      <c r="C145">
        <v>332619</v>
      </c>
      <c r="D145">
        <v>36.5</v>
      </c>
    </row>
    <row r="146" spans="1:4" x14ac:dyDescent="0.25">
      <c r="A146" t="str">
        <f>T("   851679")</f>
        <v xml:space="preserve">   851679</v>
      </c>
      <c r="B146" t="s">
        <v>478</v>
      </c>
      <c r="C146">
        <v>3933000</v>
      </c>
      <c r="D146">
        <v>6727</v>
      </c>
    </row>
    <row r="147" spans="1:4" x14ac:dyDescent="0.25">
      <c r="A147" t="str">
        <f>T("   851712")</f>
        <v xml:space="preserve">   851712</v>
      </c>
      <c r="B147" t="str">
        <f>T("   TÉLÉPHONES POUR RÉSEAUX CELLULAIRES [TÉLÉPHONES MOBILES] ET POUR AUTRES RÉSEAUX SANS FIL")</f>
        <v xml:space="preserve">   TÉLÉPHONES POUR RÉSEAUX CELLULAIRES [TÉLÉPHONES MOBILES] ET POUR AUTRES RÉSEAUX SANS FIL</v>
      </c>
      <c r="C147">
        <v>4389500</v>
      </c>
      <c r="D147">
        <v>632</v>
      </c>
    </row>
    <row r="148" spans="1:4" x14ac:dyDescent="0.25">
      <c r="A148" t="str">
        <f>T("   851769")</f>
        <v xml:space="preserve">   851769</v>
      </c>
      <c r="B148" t="s">
        <v>481</v>
      </c>
      <c r="C148">
        <v>42355523</v>
      </c>
      <c r="D148">
        <v>510</v>
      </c>
    </row>
    <row r="149" spans="1:4" x14ac:dyDescent="0.25">
      <c r="A149" t="str">
        <f>T("   851770")</f>
        <v xml:space="preserve">   851770</v>
      </c>
      <c r="B149"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149">
        <v>3182398</v>
      </c>
      <c r="D149">
        <v>26.9</v>
      </c>
    </row>
    <row r="150" spans="1:4" x14ac:dyDescent="0.25">
      <c r="A150" t="str">
        <f>T("   851780")</f>
        <v xml:space="preserve">   851780</v>
      </c>
      <c r="B150" t="s">
        <v>482</v>
      </c>
      <c r="C150">
        <v>749758</v>
      </c>
      <c r="D150">
        <v>167</v>
      </c>
    </row>
    <row r="151" spans="1:4" x14ac:dyDescent="0.25">
      <c r="A151" t="str">
        <f>T("   851790")</f>
        <v xml:space="preserve">   851790</v>
      </c>
      <c r="B151" t="s">
        <v>483</v>
      </c>
      <c r="C151">
        <v>254512</v>
      </c>
      <c r="D151">
        <v>80</v>
      </c>
    </row>
    <row r="152" spans="1:4" x14ac:dyDescent="0.25">
      <c r="A152" t="str">
        <f>T("   852190")</f>
        <v xml:space="preserve">   852190</v>
      </c>
      <c r="B152" t="s">
        <v>487</v>
      </c>
      <c r="C152">
        <v>8960826</v>
      </c>
      <c r="D152">
        <v>12725</v>
      </c>
    </row>
    <row r="153" spans="1:4" x14ac:dyDescent="0.25">
      <c r="A153" t="str">
        <f>T("   852321")</f>
        <v xml:space="preserve">   852321</v>
      </c>
      <c r="B153" t="str">
        <f>T("   CARTES MUNIES D'UNE PISTE MAGNÉTIQUE POUR L'ENREGISTREMENT DU SON OU POUR ENREGISTREMENTS ANALOGUES")</f>
        <v xml:space="preserve">   CARTES MUNIES D'UNE PISTE MAGNÉTIQUE POUR L'ENREGISTREMENT DU SON OU POUR ENREGISTREMENTS ANALOGUES</v>
      </c>
      <c r="C153">
        <v>42628480</v>
      </c>
      <c r="D153">
        <v>1150</v>
      </c>
    </row>
    <row r="154" spans="1:4" x14ac:dyDescent="0.25">
      <c r="A154" t="str">
        <f>T("   852329")</f>
        <v xml:space="preserve">   852329</v>
      </c>
      <c r="B154"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154">
        <v>19209459</v>
      </c>
      <c r="D154">
        <v>1655</v>
      </c>
    </row>
    <row r="155" spans="1:4" x14ac:dyDescent="0.25">
      <c r="A155" t="str">
        <f>T("   852340")</f>
        <v xml:space="preserve">   852340</v>
      </c>
      <c r="B155" t="str">
        <f>T("   SUPPORTS OPTIQUES POUR L'ENREGISTREMENT DU SON OU POUR ENREGISTREMENTS ANALOGUES (À L'EXCL. DES PRODUITS DU CHAPITRE 37)")</f>
        <v xml:space="preserve">   SUPPORTS OPTIQUES POUR L'ENREGISTREMENT DU SON OU POUR ENREGISTREMENTS ANALOGUES (À L'EXCL. DES PRODUITS DU CHAPITRE 37)</v>
      </c>
      <c r="C155">
        <v>85256960</v>
      </c>
      <c r="D155">
        <v>2120</v>
      </c>
    </row>
    <row r="156" spans="1:4" x14ac:dyDescent="0.25">
      <c r="A156" t="str">
        <f>T("   852791")</f>
        <v xml:space="preserve">   852791</v>
      </c>
      <c r="B156" t="str">
        <f>T("   RÉCEPTEURS DE RADIODIFFUSION, NE POUVANT FONCTIONNER QU'AVEC UNE SOURCE D'ÉNERGIE EXTÉRIEURE, COMBINÉS À UN APPAREIL D'ENREGISTREMENT OU DE REPRODUCTION DU SON (AUTRES QUE POUR VÉHICULES AUTOMOBILES)")</f>
        <v xml:space="preserve">   RÉCEPTEURS DE RADIODIFFUSION, NE POUVANT FONCTIONNER QU'AVEC UNE SOURCE D'ÉNERGIE EXTÉRIEURE, COMBINÉS À UN APPAREIL D'ENREGISTREMENT OU DE REPRODUCTION DU SON (AUTRES QUE POUR VÉHICULES AUTOMOBILES)</v>
      </c>
      <c r="C156">
        <v>99579</v>
      </c>
      <c r="D156">
        <v>180</v>
      </c>
    </row>
    <row r="157" spans="1:4" x14ac:dyDescent="0.25">
      <c r="A157" t="str">
        <f>T("   852799")</f>
        <v xml:space="preserve">   852799</v>
      </c>
      <c r="B157"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157">
        <v>1546881</v>
      </c>
      <c r="D157">
        <v>2176</v>
      </c>
    </row>
    <row r="158" spans="1:4" x14ac:dyDescent="0.25">
      <c r="A158" t="str">
        <f>T("   852859")</f>
        <v xml:space="preserve">   852859</v>
      </c>
      <c r="B158"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158">
        <v>4912358</v>
      </c>
      <c r="D158">
        <v>2264</v>
      </c>
    </row>
    <row r="159" spans="1:4" x14ac:dyDescent="0.25">
      <c r="A159" t="str">
        <f>T("   852869")</f>
        <v xml:space="preserve">   852869</v>
      </c>
      <c r="B159"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159">
        <v>5171367</v>
      </c>
      <c r="D159">
        <v>3106</v>
      </c>
    </row>
    <row r="160" spans="1:4" x14ac:dyDescent="0.25">
      <c r="A160" t="str">
        <f>T("   852871")</f>
        <v xml:space="preserve">   852871</v>
      </c>
      <c r="B160"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160">
        <v>1379031</v>
      </c>
      <c r="D160">
        <v>2090</v>
      </c>
    </row>
    <row r="161" spans="1:4" x14ac:dyDescent="0.25">
      <c r="A161" t="str">
        <f>T("   852910")</f>
        <v xml:space="preserve">   852910</v>
      </c>
      <c r="B16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61">
        <v>5228211</v>
      </c>
      <c r="D161">
        <v>519</v>
      </c>
    </row>
    <row r="162" spans="1:4" x14ac:dyDescent="0.25">
      <c r="A162" t="str">
        <f>T("   852990")</f>
        <v xml:space="preserve">   852990</v>
      </c>
      <c r="B162" t="s">
        <v>496</v>
      </c>
      <c r="C162">
        <v>12978807</v>
      </c>
      <c r="D162">
        <v>4037.8</v>
      </c>
    </row>
    <row r="163" spans="1:4" x14ac:dyDescent="0.25">
      <c r="A163" t="str">
        <f>T("   853339")</f>
        <v xml:space="preserve">   853339</v>
      </c>
      <c r="B163"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163">
        <v>449366</v>
      </c>
      <c r="D163">
        <v>879</v>
      </c>
    </row>
    <row r="164" spans="1:4" x14ac:dyDescent="0.25">
      <c r="A164" t="str">
        <f>T("   853910")</f>
        <v xml:space="preserve">   853910</v>
      </c>
      <c r="B164" t="str">
        <f>T("   Phares et projecteurs scellés")</f>
        <v xml:space="preserve">   Phares et projecteurs scellés</v>
      </c>
      <c r="C164">
        <v>101073</v>
      </c>
      <c r="D164">
        <v>10</v>
      </c>
    </row>
    <row r="165" spans="1:4" x14ac:dyDescent="0.25">
      <c r="A165" t="str">
        <f>T("   853949")</f>
        <v xml:space="preserve">   853949</v>
      </c>
      <c r="B165" t="str">
        <f>T("   Lampes et tubes à rayons ultraviolets ou infrarouges")</f>
        <v xml:space="preserve">   Lampes et tubes à rayons ultraviolets ou infrarouges</v>
      </c>
      <c r="C165">
        <v>873996</v>
      </c>
      <c r="D165">
        <v>7941</v>
      </c>
    </row>
    <row r="166" spans="1:4" x14ac:dyDescent="0.25">
      <c r="A166" t="str">
        <f>T("   854420")</f>
        <v xml:space="preserve">   854420</v>
      </c>
      <c r="B166" t="str">
        <f>T("   Câbles coaxiaux et autres conducteurs électriques coaxiaux, isolés")</f>
        <v xml:space="preserve">   Câbles coaxiaux et autres conducteurs électriques coaxiaux, isolés</v>
      </c>
      <c r="C166">
        <v>17924</v>
      </c>
      <c r="D166">
        <v>2</v>
      </c>
    </row>
    <row r="167" spans="1:4" x14ac:dyDescent="0.25">
      <c r="A167" t="str">
        <f>T("   854890")</f>
        <v xml:space="preserve">   854890</v>
      </c>
      <c r="B167" t="str">
        <f>T("   PARTIES ÉLECTRIQUES DE MACHINES OU D'APPAREILS, N.D.A. DANS LE CHAPITRE 85")</f>
        <v xml:space="preserve">   PARTIES ÉLECTRIQUES DE MACHINES OU D'APPAREILS, N.D.A. DANS LE CHAPITRE 85</v>
      </c>
      <c r="C167">
        <v>3634422</v>
      </c>
      <c r="D167">
        <v>793</v>
      </c>
    </row>
    <row r="168" spans="1:4" x14ac:dyDescent="0.25">
      <c r="A168" t="str">
        <f>T("   870210")</f>
        <v xml:space="preserve">   870210</v>
      </c>
      <c r="B168" t="s">
        <v>503</v>
      </c>
      <c r="C168">
        <v>31030926</v>
      </c>
      <c r="D168">
        <v>6620</v>
      </c>
    </row>
    <row r="169" spans="1:4" x14ac:dyDescent="0.25">
      <c r="A169" t="str">
        <f>T("   870290")</f>
        <v xml:space="preserve">   870290</v>
      </c>
      <c r="B169" t="s">
        <v>504</v>
      </c>
      <c r="C169">
        <v>40077490</v>
      </c>
      <c r="D169">
        <v>12000</v>
      </c>
    </row>
    <row r="170" spans="1:4" x14ac:dyDescent="0.25">
      <c r="A170" t="str">
        <f>T("   870323")</f>
        <v xml:space="preserve">   870323</v>
      </c>
      <c r="B170" t="s">
        <v>507</v>
      </c>
      <c r="C170">
        <v>162736832</v>
      </c>
      <c r="D170">
        <v>33398</v>
      </c>
    </row>
    <row r="171" spans="1:4" x14ac:dyDescent="0.25">
      <c r="A171" t="str">
        <f>T("   870324")</f>
        <v xml:space="preserve">   870324</v>
      </c>
      <c r="B171" t="s">
        <v>508</v>
      </c>
      <c r="C171">
        <v>30168849</v>
      </c>
      <c r="D171">
        <v>6775</v>
      </c>
    </row>
    <row r="172" spans="1:4" x14ac:dyDescent="0.25">
      <c r="A172" t="str">
        <f>T("   870333")</f>
        <v xml:space="preserve">   870333</v>
      </c>
      <c r="B172" t="s">
        <v>511</v>
      </c>
      <c r="C172">
        <v>60710804</v>
      </c>
      <c r="D172">
        <v>11400</v>
      </c>
    </row>
    <row r="173" spans="1:4" x14ac:dyDescent="0.25">
      <c r="A173" t="str">
        <f>T("   870421")</f>
        <v xml:space="preserve">   870421</v>
      </c>
      <c r="B173" t="s">
        <v>512</v>
      </c>
      <c r="C173">
        <v>146476114</v>
      </c>
      <c r="D173">
        <v>31166</v>
      </c>
    </row>
    <row r="174" spans="1:4" x14ac:dyDescent="0.25">
      <c r="A174" t="str">
        <f>T("   870431")</f>
        <v xml:space="preserve">   870431</v>
      </c>
      <c r="B174" t="s">
        <v>515</v>
      </c>
      <c r="C174">
        <v>14784890</v>
      </c>
      <c r="D174">
        <v>5604</v>
      </c>
    </row>
    <row r="175" spans="1:4" x14ac:dyDescent="0.25">
      <c r="A175" t="str">
        <f>T("   870899")</f>
        <v xml:space="preserve">   870899</v>
      </c>
      <c r="B17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75">
        <v>2377265</v>
      </c>
      <c r="D175">
        <v>2839</v>
      </c>
    </row>
    <row r="176" spans="1:4" x14ac:dyDescent="0.25">
      <c r="A176" t="str">
        <f>T("   871110")</f>
        <v xml:space="preserve">   871110</v>
      </c>
      <c r="B176" t="str">
        <f>T("   Cyclomoteurs, à moteur à piston alternatif, cylindrée &lt;= 50 cm³, y.c. cycles à moteur auxiliaire")</f>
        <v xml:space="preserve">   Cyclomoteurs, à moteur à piston alternatif, cylindrée &lt;= 50 cm³, y.c. cycles à moteur auxiliaire</v>
      </c>
      <c r="C176">
        <v>85862540</v>
      </c>
      <c r="D176">
        <v>28620</v>
      </c>
    </row>
    <row r="177" spans="1:4" x14ac:dyDescent="0.25">
      <c r="A177" t="str">
        <f>T("   871640")</f>
        <v xml:space="preserve">   871640</v>
      </c>
      <c r="B17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77">
        <v>101673800</v>
      </c>
      <c r="D177">
        <v>95000</v>
      </c>
    </row>
    <row r="178" spans="1:4" x14ac:dyDescent="0.25">
      <c r="A178" t="str">
        <f>T("   900659")</f>
        <v xml:space="preserve">   900659</v>
      </c>
      <c r="B178" t="s">
        <v>523</v>
      </c>
      <c r="C178">
        <v>916336</v>
      </c>
      <c r="D178">
        <v>1231</v>
      </c>
    </row>
    <row r="179" spans="1:4" x14ac:dyDescent="0.25">
      <c r="A179" t="str">
        <f>T("   900719")</f>
        <v xml:space="preserve">   900719</v>
      </c>
      <c r="B179" t="str">
        <f>T("   Caméras cinématographiques, pour films d'une largeur &gt;= 16 mm (à l'excl. des films double-8 mm)")</f>
        <v xml:space="preserve">   Caméras cinématographiques, pour films d'une largeur &gt;= 16 mm (à l'excl. des films double-8 mm)</v>
      </c>
      <c r="C179">
        <v>1852254</v>
      </c>
      <c r="D179">
        <v>572</v>
      </c>
    </row>
    <row r="180" spans="1:4" x14ac:dyDescent="0.25">
      <c r="A180" t="str">
        <f>T("   900830")</f>
        <v xml:space="preserve">   900830</v>
      </c>
      <c r="B180"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180">
        <v>1201591</v>
      </c>
      <c r="D180">
        <v>1235</v>
      </c>
    </row>
    <row r="181" spans="1:4" x14ac:dyDescent="0.25">
      <c r="A181" t="str">
        <f>T("   900999")</f>
        <v xml:space="preserve">   900999</v>
      </c>
      <c r="B181"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181">
        <v>3816809</v>
      </c>
      <c r="D181">
        <v>405</v>
      </c>
    </row>
    <row r="182" spans="1:4" x14ac:dyDescent="0.25">
      <c r="A182" t="str">
        <f>T("   902300")</f>
        <v xml:space="preserve">   902300</v>
      </c>
      <c r="B182" t="s">
        <v>530</v>
      </c>
      <c r="C182">
        <v>1770000</v>
      </c>
      <c r="D182">
        <v>6000</v>
      </c>
    </row>
    <row r="183" spans="1:4" x14ac:dyDescent="0.25">
      <c r="A183" t="str">
        <f>T("   902890")</f>
        <v xml:space="preserve">   902890</v>
      </c>
      <c r="B183" t="str">
        <f>T("   Parties et accessoires de compteurs de gaz, de liquides ou d'électricité, n.d.a.")</f>
        <v xml:space="preserve">   Parties et accessoires de compteurs de gaz, de liquides ou d'électricité, n.d.a.</v>
      </c>
      <c r="C183">
        <v>1300000</v>
      </c>
      <c r="D183">
        <v>4000</v>
      </c>
    </row>
    <row r="184" spans="1:4" x14ac:dyDescent="0.25">
      <c r="A184" t="str">
        <f>T("   910390")</f>
        <v xml:space="preserve">   910390</v>
      </c>
      <c r="B184"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184">
        <v>540715</v>
      </c>
      <c r="D184">
        <v>340</v>
      </c>
    </row>
    <row r="185" spans="1:4" x14ac:dyDescent="0.25">
      <c r="A185" t="str">
        <f>T("   910529")</f>
        <v xml:space="preserve">   910529</v>
      </c>
      <c r="B185" t="str">
        <f>T("   Pendules et horloges murales ne fonctionnant pas électriquement")</f>
        <v xml:space="preserve">   Pendules et horloges murales ne fonctionnant pas électriquement</v>
      </c>
      <c r="C185">
        <v>787152</v>
      </c>
      <c r="D185">
        <v>1950</v>
      </c>
    </row>
    <row r="186" spans="1:4" x14ac:dyDescent="0.25">
      <c r="A186" t="str">
        <f>T("   930629")</f>
        <v xml:space="preserve">   930629</v>
      </c>
      <c r="B186" t="str">
        <f>T("   Parties de cartouches pour fusils ou carabines à canon lisse; plombs pour carabines et pistolets à air comprimé")</f>
        <v xml:space="preserve">   Parties de cartouches pour fusils ou carabines à canon lisse; plombs pour carabines et pistolets à air comprimé</v>
      </c>
      <c r="C186">
        <v>500000</v>
      </c>
      <c r="D186">
        <v>900</v>
      </c>
    </row>
    <row r="187" spans="1:4" x14ac:dyDescent="0.25">
      <c r="A187" t="str">
        <f>T("   940350")</f>
        <v xml:space="preserve">   940350</v>
      </c>
      <c r="B187" t="str">
        <f>T("   Meubles pour chambres à coucher, en bois (sauf sièges)")</f>
        <v xml:space="preserve">   Meubles pour chambres à coucher, en bois (sauf sièges)</v>
      </c>
      <c r="C187">
        <v>6538697</v>
      </c>
      <c r="D187">
        <v>5890</v>
      </c>
    </row>
    <row r="188" spans="1:4" x14ac:dyDescent="0.25">
      <c r="A188" t="str">
        <f>T("   940360")</f>
        <v xml:space="preserve">   940360</v>
      </c>
      <c r="B188" t="str">
        <f>T("   Meubles en bois (autres que pour bureaux, cuisines ou chambres à coucher et autres que sièges)")</f>
        <v xml:space="preserve">   Meubles en bois (autres que pour bureaux, cuisines ou chambres à coucher et autres que sièges)</v>
      </c>
      <c r="C188">
        <v>22263563</v>
      </c>
      <c r="D188">
        <v>63024</v>
      </c>
    </row>
    <row r="189" spans="1:4" x14ac:dyDescent="0.25">
      <c r="A189" t="str">
        <f>T("   940380")</f>
        <v xml:space="preserve">   940380</v>
      </c>
      <c r="B189" t="str">
        <f>T("   Meubles en rotin, osier, bambou ou autres matières (sauf métal, bois et matières plastiques)")</f>
        <v xml:space="preserve">   Meubles en rotin, osier, bambou ou autres matières (sauf métal, bois et matières plastiques)</v>
      </c>
      <c r="C189">
        <v>1748301</v>
      </c>
      <c r="D189">
        <v>3500</v>
      </c>
    </row>
    <row r="190" spans="1:4" x14ac:dyDescent="0.25">
      <c r="A190" t="str">
        <f>T("   940381")</f>
        <v xml:space="preserve">   940381</v>
      </c>
      <c r="B190"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190">
        <v>100000</v>
      </c>
      <c r="D190">
        <v>200</v>
      </c>
    </row>
    <row r="191" spans="1:4" x14ac:dyDescent="0.25">
      <c r="A191" t="str">
        <f>T("   940389")</f>
        <v xml:space="preserve">   940389</v>
      </c>
      <c r="B191"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91">
        <v>5395271</v>
      </c>
      <c r="D191">
        <v>4000</v>
      </c>
    </row>
    <row r="192" spans="1:4" x14ac:dyDescent="0.25">
      <c r="A192" t="str">
        <f>T("   940490")</f>
        <v xml:space="preserve">   940490</v>
      </c>
      <c r="B192" t="s">
        <v>537</v>
      </c>
      <c r="C192">
        <v>969671</v>
      </c>
      <c r="D192">
        <v>9613</v>
      </c>
    </row>
    <row r="193" spans="1:4" x14ac:dyDescent="0.25">
      <c r="A193" t="str">
        <f>T("   940600")</f>
        <v xml:space="preserve">   940600</v>
      </c>
      <c r="B193" t="str">
        <f>T("   Constructions préfabriquées, même incomplètes ou non encore montées")</f>
        <v xml:space="preserve">   Constructions préfabriquées, même incomplètes ou non encore montées</v>
      </c>
      <c r="C193">
        <v>5404226</v>
      </c>
      <c r="D193">
        <v>1820</v>
      </c>
    </row>
    <row r="194" spans="1:4" x14ac:dyDescent="0.25">
      <c r="A194" t="str">
        <f>T("   950590")</f>
        <v xml:space="preserve">   950590</v>
      </c>
      <c r="B194" t="str">
        <f>T("   Articles pour fêtes, carnaval ou autres divertissements, y.c. les articles de magie et articles-surprises, n.d.a.")</f>
        <v xml:space="preserve">   Articles pour fêtes, carnaval ou autres divertissements, y.c. les articles de magie et articles-surprises, n.d.a.</v>
      </c>
      <c r="C194">
        <v>2377453</v>
      </c>
      <c r="D194">
        <v>3180</v>
      </c>
    </row>
    <row r="195" spans="1:4" x14ac:dyDescent="0.25">
      <c r="A195" t="str">
        <f>T("   960310")</f>
        <v xml:space="preserve">   960310</v>
      </c>
      <c r="B195" t="str">
        <f>T("   Balais et balayettes consistant en matières végétales en bottes liées")</f>
        <v xml:space="preserve">   Balais et balayettes consistant en matières végétales en bottes liées</v>
      </c>
      <c r="C195">
        <v>1869851</v>
      </c>
      <c r="D195">
        <v>5430</v>
      </c>
    </row>
    <row r="196" spans="1:4" x14ac:dyDescent="0.25">
      <c r="A196" t="str">
        <f>T("AF")</f>
        <v>AF</v>
      </c>
      <c r="B196" t="str">
        <f>T("Afghanistan")</f>
        <v>Afghanistan</v>
      </c>
    </row>
    <row r="197" spans="1:4" x14ac:dyDescent="0.25">
      <c r="A197" t="str">
        <f>T("   ZZ_Total_Produit_SH6")</f>
        <v xml:space="preserve">   ZZ_Total_Produit_SH6</v>
      </c>
      <c r="B197" t="str">
        <f>T("   ZZ_Total_Produit_SH6")</f>
        <v xml:space="preserve">   ZZ_Total_Produit_SH6</v>
      </c>
      <c r="C197">
        <v>34206296</v>
      </c>
      <c r="D197">
        <v>1550.9</v>
      </c>
    </row>
    <row r="198" spans="1:4" x14ac:dyDescent="0.25">
      <c r="A198" t="str">
        <f>T("   382200")</f>
        <v xml:space="preserve">   382200</v>
      </c>
      <c r="B198" t="s">
        <v>133</v>
      </c>
      <c r="C198">
        <v>2763354</v>
      </c>
      <c r="D198">
        <v>119.1</v>
      </c>
    </row>
    <row r="199" spans="1:4" x14ac:dyDescent="0.25">
      <c r="A199" t="str">
        <f>T("   420211")</f>
        <v xml:space="preserve">   420211</v>
      </c>
      <c r="B199"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99">
        <v>58068</v>
      </c>
      <c r="D199">
        <v>3</v>
      </c>
    </row>
    <row r="200" spans="1:4" x14ac:dyDescent="0.25">
      <c r="A200" t="str">
        <f>T("   482090")</f>
        <v xml:space="preserve">   482090</v>
      </c>
      <c r="B200" t="s">
        <v>234</v>
      </c>
      <c r="C200">
        <v>214037</v>
      </c>
      <c r="D200">
        <v>10</v>
      </c>
    </row>
    <row r="201" spans="1:4" x14ac:dyDescent="0.25">
      <c r="A201" t="str">
        <f>T("   490199")</f>
        <v xml:space="preserve">   490199</v>
      </c>
      <c r="B20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01">
        <v>122009</v>
      </c>
      <c r="D201">
        <v>25</v>
      </c>
    </row>
    <row r="202" spans="1:4" x14ac:dyDescent="0.25">
      <c r="A202" t="str">
        <f>T("   490900")</f>
        <v xml:space="preserve">   490900</v>
      </c>
      <c r="B202"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202">
        <v>224215</v>
      </c>
      <c r="D202">
        <v>6</v>
      </c>
    </row>
    <row r="203" spans="1:4" x14ac:dyDescent="0.25">
      <c r="A203" t="str">
        <f>T("   621050")</f>
        <v xml:space="preserve">   621050</v>
      </c>
      <c r="B203" t="s">
        <v>295</v>
      </c>
      <c r="C203">
        <v>142000</v>
      </c>
      <c r="D203">
        <v>360</v>
      </c>
    </row>
    <row r="204" spans="1:4" x14ac:dyDescent="0.25">
      <c r="A204" t="str">
        <f>T("   840910")</f>
        <v xml:space="preserve">   840910</v>
      </c>
      <c r="B204" t="str">
        <f>T("   Parties reconnaissables comme étant exclusivement ou principalement destinées aux moteurs à piston pour l'aviation, n.d.a.")</f>
        <v xml:space="preserve">   Parties reconnaissables comme étant exclusivement ou principalement destinées aux moteurs à piston pour l'aviation, n.d.a.</v>
      </c>
      <c r="C204">
        <v>139062</v>
      </c>
      <c r="D204">
        <v>4</v>
      </c>
    </row>
    <row r="205" spans="1:4" x14ac:dyDescent="0.25">
      <c r="A205" t="str">
        <f>T("   841590")</f>
        <v xml:space="preserve">   841590</v>
      </c>
      <c r="B20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205">
        <v>2212212</v>
      </c>
      <c r="D205">
        <v>400</v>
      </c>
    </row>
    <row r="206" spans="1:4" x14ac:dyDescent="0.25">
      <c r="A206" t="str">
        <f>T("   842290")</f>
        <v xml:space="preserve">   842290</v>
      </c>
      <c r="B20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206">
        <v>295849</v>
      </c>
      <c r="D206">
        <v>15</v>
      </c>
    </row>
    <row r="207" spans="1:4" x14ac:dyDescent="0.25">
      <c r="A207" t="str">
        <f>T("   851762")</f>
        <v xml:space="preserve">   851762</v>
      </c>
      <c r="B207" t="s">
        <v>480</v>
      </c>
      <c r="C207">
        <v>542079</v>
      </c>
      <c r="D207">
        <v>2</v>
      </c>
    </row>
    <row r="208" spans="1:4" x14ac:dyDescent="0.25">
      <c r="A208" t="str">
        <f>T("   851769")</f>
        <v xml:space="preserve">   851769</v>
      </c>
      <c r="B208" t="s">
        <v>481</v>
      </c>
      <c r="C208">
        <v>2333520</v>
      </c>
      <c r="D208">
        <v>2.8</v>
      </c>
    </row>
    <row r="209" spans="1:4" x14ac:dyDescent="0.25">
      <c r="A209" t="str">
        <f>T("   851780")</f>
        <v xml:space="preserve">   851780</v>
      </c>
      <c r="B209" t="s">
        <v>482</v>
      </c>
      <c r="C209">
        <v>1911818</v>
      </c>
      <c r="D209">
        <v>10.5</v>
      </c>
    </row>
    <row r="210" spans="1:4" x14ac:dyDescent="0.25">
      <c r="A210" t="str">
        <f>T("   852290")</f>
        <v xml:space="preserve">   852290</v>
      </c>
      <c r="B210" t="s">
        <v>488</v>
      </c>
      <c r="C210">
        <v>662690</v>
      </c>
      <c r="D210">
        <v>21</v>
      </c>
    </row>
    <row r="211" spans="1:4" x14ac:dyDescent="0.25">
      <c r="A211" t="str">
        <f>T("   852812")</f>
        <v xml:space="preserve">   852812</v>
      </c>
      <c r="B21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11">
        <v>19156474</v>
      </c>
      <c r="D211">
        <v>418</v>
      </c>
    </row>
    <row r="212" spans="1:4" x14ac:dyDescent="0.25">
      <c r="A212" t="str">
        <f>T("   852872")</f>
        <v xml:space="preserve">   852872</v>
      </c>
      <c r="B212" t="str">
        <f>T("   APPAREILS RÉCEPTEURS DE TÉLÉVISION EN COULEURS, MÊME INCORPORANT UN APPAREIL RÉCEPTEUR DE RADIODIFFUSION OU UN APPAREIL D'ENREGISTREMENT OU DE REPRODUCTION DU SON OU DES IMAGES, CONÇUS POUR INCORPORER UN DISPOSITIF D'AFFICHAGE OU UN ÉCRAN VIDÉO")</f>
        <v xml:space="preserve">   APPAREILS RÉCEPTEURS DE TÉLÉVISION EN COULEURS, MÊME INCORPORANT UN APPAREIL RÉCEPTEUR DE RADIODIFFUSION OU UN APPAREIL D'ENREGISTREMENT OU DE REPRODUCTION DU SON OU DES IMAGES, CONÇUS POUR INCORPORER UN DISPOSITIF D'AFFICHAGE OU UN ÉCRAN VIDÉO</v>
      </c>
      <c r="C212">
        <v>755246</v>
      </c>
      <c r="D212">
        <v>33</v>
      </c>
    </row>
    <row r="213" spans="1:4" x14ac:dyDescent="0.25">
      <c r="A213" t="str">
        <f>T("   852990")</f>
        <v xml:space="preserve">   852990</v>
      </c>
      <c r="B213" t="s">
        <v>496</v>
      </c>
      <c r="C213">
        <v>2544343</v>
      </c>
      <c r="D213">
        <v>116.5</v>
      </c>
    </row>
    <row r="214" spans="1:4" x14ac:dyDescent="0.25">
      <c r="A214" t="str">
        <f>T("   854449")</f>
        <v xml:space="preserve">   854449</v>
      </c>
      <c r="B214" t="str">
        <f>T("   CONDUCTEURS ÉLECTRIQUES, POUR TENSION &lt;= 1.000 V, ISOLÉS, SANS PIÈCES DE CONNEXION, N.D.A.")</f>
        <v xml:space="preserve">   CONDUCTEURS ÉLECTRIQUES, POUR TENSION &lt;= 1.000 V, ISOLÉS, SANS PIÈCES DE CONNEXION, N.D.A.</v>
      </c>
      <c r="C214">
        <v>129320</v>
      </c>
      <c r="D214">
        <v>5</v>
      </c>
    </row>
    <row r="215" spans="1:4" x14ac:dyDescent="0.25">
      <c r="A215" t="str">
        <f>T("AL")</f>
        <v>AL</v>
      </c>
      <c r="B215" t="str">
        <f>T("Albanie")</f>
        <v>Albanie</v>
      </c>
    </row>
    <row r="216" spans="1:4" x14ac:dyDescent="0.25">
      <c r="A216" t="str">
        <f>T("   ZZ_Total_Produit_SH6")</f>
        <v xml:space="preserve">   ZZ_Total_Produit_SH6</v>
      </c>
      <c r="B216" t="str">
        <f>T("   ZZ_Total_Produit_SH6")</f>
        <v xml:space="preserve">   ZZ_Total_Produit_SH6</v>
      </c>
      <c r="C216">
        <v>34414694</v>
      </c>
      <c r="D216">
        <v>14333.52</v>
      </c>
    </row>
    <row r="217" spans="1:4" x14ac:dyDescent="0.25">
      <c r="A217" t="str">
        <f>T("   220429")</f>
        <v xml:space="preserve">   220429</v>
      </c>
      <c r="B217"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217">
        <v>5975</v>
      </c>
      <c r="D217">
        <v>17</v>
      </c>
    </row>
    <row r="218" spans="1:4" x14ac:dyDescent="0.25">
      <c r="A218" t="str">
        <f>T("   621020")</f>
        <v xml:space="preserve">   621020</v>
      </c>
      <c r="B218"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218">
        <v>271546</v>
      </c>
      <c r="D218">
        <v>391</v>
      </c>
    </row>
    <row r="219" spans="1:4" x14ac:dyDescent="0.25">
      <c r="A219" t="str">
        <f>T("   630900")</f>
        <v xml:space="preserve">   630900</v>
      </c>
      <c r="B219" t="s">
        <v>300</v>
      </c>
      <c r="C219">
        <v>5500000</v>
      </c>
      <c r="D219">
        <v>10000</v>
      </c>
    </row>
    <row r="220" spans="1:4" x14ac:dyDescent="0.25">
      <c r="A220" t="str">
        <f>T("   820559")</f>
        <v xml:space="preserve">   820559</v>
      </c>
      <c r="B220" t="str">
        <f>T("   Outils à main, y.c. -les diamants de vitrier-, en métaux communs, n.d.a.")</f>
        <v xml:space="preserve">   Outils à main, y.c. -les diamants de vitrier-, en métaux communs, n.d.a.</v>
      </c>
      <c r="C220">
        <v>65985</v>
      </c>
      <c r="D220">
        <v>53</v>
      </c>
    </row>
    <row r="221" spans="1:4" x14ac:dyDescent="0.25">
      <c r="A221" t="str">
        <f>T("   847130")</f>
        <v xml:space="preserve">   847130</v>
      </c>
      <c r="B221"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21">
        <v>130000</v>
      </c>
      <c r="D221">
        <v>4</v>
      </c>
    </row>
    <row r="222" spans="1:4" x14ac:dyDescent="0.25">
      <c r="A222" t="str">
        <f>T("   847141")</f>
        <v xml:space="preserve">   847141</v>
      </c>
      <c r="B222" t="s">
        <v>458</v>
      </c>
      <c r="C222">
        <v>120000</v>
      </c>
      <c r="D222">
        <v>72</v>
      </c>
    </row>
    <row r="223" spans="1:4" x14ac:dyDescent="0.25">
      <c r="A223" t="str">
        <f>T("   847190")</f>
        <v xml:space="preserve">   847190</v>
      </c>
      <c r="B22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23">
        <v>750000</v>
      </c>
      <c r="D223">
        <v>80</v>
      </c>
    </row>
    <row r="224" spans="1:4" x14ac:dyDescent="0.25">
      <c r="A224" t="str">
        <f>T("   848340")</f>
        <v xml:space="preserve">   848340</v>
      </c>
      <c r="B224" t="s">
        <v>468</v>
      </c>
      <c r="C224">
        <v>1095371</v>
      </c>
      <c r="D224">
        <v>16</v>
      </c>
    </row>
    <row r="225" spans="1:4" x14ac:dyDescent="0.25">
      <c r="A225" t="str">
        <f>T("   851769")</f>
        <v xml:space="preserve">   851769</v>
      </c>
      <c r="B225" t="s">
        <v>481</v>
      </c>
      <c r="C225">
        <v>130185</v>
      </c>
      <c r="D225">
        <v>34</v>
      </c>
    </row>
    <row r="226" spans="1:4" x14ac:dyDescent="0.25">
      <c r="A226" t="str">
        <f>T("   851770")</f>
        <v xml:space="preserve">   851770</v>
      </c>
      <c r="B226"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226">
        <v>795832</v>
      </c>
      <c r="D226">
        <v>102.52</v>
      </c>
    </row>
    <row r="227" spans="1:4" x14ac:dyDescent="0.25">
      <c r="A227" t="str">
        <f>T("   870323")</f>
        <v xml:space="preserve">   870323</v>
      </c>
      <c r="B227" t="s">
        <v>507</v>
      </c>
      <c r="C227">
        <v>25500000</v>
      </c>
      <c r="D227">
        <v>3560</v>
      </c>
    </row>
    <row r="228" spans="1:4" x14ac:dyDescent="0.25">
      <c r="A228" t="str">
        <f>T("   870829")</f>
        <v xml:space="preserve">   870829</v>
      </c>
      <c r="B228" t="s">
        <v>519</v>
      </c>
      <c r="C228">
        <v>49800</v>
      </c>
      <c r="D228">
        <v>4</v>
      </c>
    </row>
    <row r="229" spans="1:4" x14ac:dyDescent="0.25">
      <c r="A229" t="str">
        <f>T("AM")</f>
        <v>AM</v>
      </c>
      <c r="B229" t="str">
        <f>T("Arménie")</f>
        <v>Arménie</v>
      </c>
    </row>
    <row r="230" spans="1:4" x14ac:dyDescent="0.25">
      <c r="A230" t="str">
        <f>T("   ZZ_Total_Produit_SH6")</f>
        <v xml:space="preserve">   ZZ_Total_Produit_SH6</v>
      </c>
      <c r="B230" t="str">
        <f>T("   ZZ_Total_Produit_SH6")</f>
        <v xml:space="preserve">   ZZ_Total_Produit_SH6</v>
      </c>
      <c r="C230">
        <v>52464839</v>
      </c>
      <c r="D230">
        <v>20829.5</v>
      </c>
    </row>
    <row r="231" spans="1:4" x14ac:dyDescent="0.25">
      <c r="A231" t="str">
        <f>T("   300339")</f>
        <v xml:space="preserve">   300339</v>
      </c>
      <c r="B231"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231">
        <v>5164767</v>
      </c>
      <c r="D231">
        <v>728</v>
      </c>
    </row>
    <row r="232" spans="1:4" x14ac:dyDescent="0.25">
      <c r="A232" t="str">
        <f>T("   300450")</f>
        <v xml:space="preserve">   300450</v>
      </c>
      <c r="B232" t="s">
        <v>83</v>
      </c>
      <c r="C232">
        <v>1056752</v>
      </c>
      <c r="D232">
        <v>57</v>
      </c>
    </row>
    <row r="233" spans="1:4" x14ac:dyDescent="0.25">
      <c r="A233" t="str">
        <f>T("   847190")</f>
        <v xml:space="preserve">   847190</v>
      </c>
      <c r="B23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33">
        <v>1448360</v>
      </c>
      <c r="D233">
        <v>70</v>
      </c>
    </row>
    <row r="234" spans="1:4" x14ac:dyDescent="0.25">
      <c r="A234" t="str">
        <f>T("   870120")</f>
        <v xml:space="preserve">   870120</v>
      </c>
      <c r="B234" t="str">
        <f>T("   Tracteurs routiers pour semi-remorques")</f>
        <v xml:space="preserve">   Tracteurs routiers pour semi-remorques</v>
      </c>
      <c r="C234">
        <v>4548855</v>
      </c>
      <c r="D234">
        <v>1415</v>
      </c>
    </row>
    <row r="235" spans="1:4" x14ac:dyDescent="0.25">
      <c r="A235" t="str">
        <f>T("   870210")</f>
        <v xml:space="preserve">   870210</v>
      </c>
      <c r="B235" t="s">
        <v>503</v>
      </c>
      <c r="C235">
        <v>1387152</v>
      </c>
      <c r="D235">
        <v>2140</v>
      </c>
    </row>
    <row r="236" spans="1:4" x14ac:dyDescent="0.25">
      <c r="A236" t="str">
        <f>T("   870322")</f>
        <v xml:space="preserve">   870322</v>
      </c>
      <c r="B236" t="s">
        <v>506</v>
      </c>
      <c r="C236">
        <v>3120754</v>
      </c>
      <c r="D236">
        <v>2799</v>
      </c>
    </row>
    <row r="237" spans="1:4" x14ac:dyDescent="0.25">
      <c r="A237" t="str">
        <f>T("   870323")</f>
        <v xml:space="preserve">   870323</v>
      </c>
      <c r="B237" t="s">
        <v>507</v>
      </c>
      <c r="C237">
        <v>15727789</v>
      </c>
      <c r="D237">
        <v>9962</v>
      </c>
    </row>
    <row r="238" spans="1:4" x14ac:dyDescent="0.25">
      <c r="A238" t="str">
        <f>T("   870324")</f>
        <v xml:space="preserve">   870324</v>
      </c>
      <c r="B238" t="s">
        <v>508</v>
      </c>
      <c r="C238">
        <v>11481475</v>
      </c>
      <c r="D238">
        <v>2300</v>
      </c>
    </row>
    <row r="239" spans="1:4" x14ac:dyDescent="0.25">
      <c r="A239" t="str">
        <f>T("   870333")</f>
        <v xml:space="preserve">   870333</v>
      </c>
      <c r="B239" t="s">
        <v>511</v>
      </c>
      <c r="C239">
        <v>3775804</v>
      </c>
      <c r="D239">
        <v>1000</v>
      </c>
    </row>
    <row r="240" spans="1:4" x14ac:dyDescent="0.25">
      <c r="A240" t="str">
        <f>T("   901890")</f>
        <v xml:space="preserve">   901890</v>
      </c>
      <c r="B240" t="str">
        <f>T("   Instruments et appareils pour la médecine, la chirurgie ou l'art vétérinaire, n.d.a.")</f>
        <v xml:space="preserve">   Instruments et appareils pour la médecine, la chirurgie ou l'art vétérinaire, n.d.a.</v>
      </c>
      <c r="C240">
        <v>4753131</v>
      </c>
      <c r="D240">
        <v>358.5</v>
      </c>
    </row>
    <row r="241" spans="1:4" x14ac:dyDescent="0.25">
      <c r="A241" t="str">
        <f>T("AO")</f>
        <v>AO</v>
      </c>
      <c r="B241" t="str">
        <f>T("Angola")</f>
        <v>Angola</v>
      </c>
    </row>
    <row r="242" spans="1:4" x14ac:dyDescent="0.25">
      <c r="A242" t="str">
        <f>T("   ZZ_Total_Produit_SH6")</f>
        <v xml:space="preserve">   ZZ_Total_Produit_SH6</v>
      </c>
      <c r="B242" t="str">
        <f>T("   ZZ_Total_Produit_SH6")</f>
        <v xml:space="preserve">   ZZ_Total_Produit_SH6</v>
      </c>
      <c r="C242">
        <v>661855479</v>
      </c>
      <c r="D242">
        <v>1752380</v>
      </c>
    </row>
    <row r="243" spans="1:4" x14ac:dyDescent="0.25">
      <c r="A243" t="str">
        <f>T("   030379")</f>
        <v xml:space="preserve">   030379</v>
      </c>
      <c r="B243" t="s">
        <v>16</v>
      </c>
      <c r="C243">
        <v>137183538</v>
      </c>
      <c r="D243">
        <v>609700</v>
      </c>
    </row>
    <row r="244" spans="1:4" x14ac:dyDescent="0.25">
      <c r="A244" t="str">
        <f>T("   701090")</f>
        <v xml:space="preserve">   701090</v>
      </c>
      <c r="B244" t="s">
        <v>348</v>
      </c>
      <c r="C244">
        <v>524671941</v>
      </c>
      <c r="D244">
        <v>1142680</v>
      </c>
    </row>
    <row r="245" spans="1:4" x14ac:dyDescent="0.25">
      <c r="A245" t="str">
        <f>T("AR")</f>
        <v>AR</v>
      </c>
      <c r="B245" t="str">
        <f>T("Argentine")</f>
        <v>Argentine</v>
      </c>
    </row>
    <row r="246" spans="1:4" x14ac:dyDescent="0.25">
      <c r="A246" t="str">
        <f>T("   ZZ_Total_Produit_SH6")</f>
        <v xml:space="preserve">   ZZ_Total_Produit_SH6</v>
      </c>
      <c r="B246" t="str">
        <f>T("   ZZ_Total_Produit_SH6")</f>
        <v xml:space="preserve">   ZZ_Total_Produit_SH6</v>
      </c>
      <c r="C246">
        <v>655163124.977</v>
      </c>
      <c r="D246">
        <v>2083163</v>
      </c>
    </row>
    <row r="247" spans="1:4" x14ac:dyDescent="0.25">
      <c r="A247" t="str">
        <f>T("   020712")</f>
        <v xml:space="preserve">   020712</v>
      </c>
      <c r="B247" t="str">
        <f>T("   COQS ET POULES [DES ESPÈCES DOMESTIQUES], NON-DÉCOUPÉS EN MORCEAUX, CONGELÉS")</f>
        <v xml:space="preserve">   COQS ET POULES [DES ESPÈCES DOMESTIQUES], NON-DÉCOUPÉS EN MORCEAUX, CONGELÉS</v>
      </c>
      <c r="C247">
        <v>93300676</v>
      </c>
      <c r="D247">
        <v>150000</v>
      </c>
    </row>
    <row r="248" spans="1:4" x14ac:dyDescent="0.25">
      <c r="A248" t="str">
        <f>T("   020714")</f>
        <v xml:space="preserve">   020714</v>
      </c>
      <c r="B248" t="str">
        <f>T("   Morceaux et abats comestibles de coqs et de poules [des espèces domestiques], congelés")</f>
        <v xml:space="preserve">   Morceaux et abats comestibles de coqs et de poules [des espèces domestiques], congelés</v>
      </c>
      <c r="C248">
        <v>77750036</v>
      </c>
      <c r="D248">
        <v>125000</v>
      </c>
    </row>
    <row r="249" spans="1:4" x14ac:dyDescent="0.25">
      <c r="A249" t="str">
        <f>T("   030219")</f>
        <v xml:space="preserve">   030219</v>
      </c>
      <c r="B249" t="str">
        <f>T("   Salmonidés, frais ou réfrigérés (à l'excl. des truites et des saumons du Pacifique, de l'Atlantique et du Danube)")</f>
        <v xml:space="preserve">   Salmonidés, frais ou réfrigérés (à l'excl. des truites et des saumons du Pacifique, de l'Atlantique et du Danube)</v>
      </c>
      <c r="C249">
        <v>6300496</v>
      </c>
      <c r="D249">
        <v>28000</v>
      </c>
    </row>
    <row r="250" spans="1:4" x14ac:dyDescent="0.25">
      <c r="A250" t="str">
        <f>T("   030319")</f>
        <v xml:space="preserve">   030319</v>
      </c>
      <c r="B250"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250">
        <v>6300000</v>
      </c>
      <c r="D250">
        <v>24160</v>
      </c>
    </row>
    <row r="251" spans="1:4" x14ac:dyDescent="0.25">
      <c r="A251" t="str">
        <f>T("   030379")</f>
        <v xml:space="preserve">   030379</v>
      </c>
      <c r="B251" t="s">
        <v>16</v>
      </c>
      <c r="C251">
        <v>55886365</v>
      </c>
      <c r="D251">
        <v>248380</v>
      </c>
    </row>
    <row r="252" spans="1:4" x14ac:dyDescent="0.25">
      <c r="A252" t="str">
        <f>T("   100590")</f>
        <v xml:space="preserve">   100590</v>
      </c>
      <c r="B252" t="str">
        <f>T("   Maïs (autre que de semence)")</f>
        <v xml:space="preserve">   Maïs (autre que de semence)</v>
      </c>
      <c r="C252">
        <v>186903025</v>
      </c>
      <c r="D252">
        <v>435960</v>
      </c>
    </row>
    <row r="253" spans="1:4" x14ac:dyDescent="0.25">
      <c r="A253" t="str">
        <f>T("   170191")</f>
        <v xml:space="preserve">   170191</v>
      </c>
      <c r="B253" t="str">
        <f>T("   Sucres de canne ou de betterave, à l'état solide, additionnés d'aromatisants ou de colorants")</f>
        <v xml:space="preserve">   Sucres de canne ou de betterave, à l'état solide, additionnés d'aromatisants ou de colorants</v>
      </c>
      <c r="C253">
        <v>83369098.089000002</v>
      </c>
      <c r="D253">
        <v>390000</v>
      </c>
    </row>
    <row r="254" spans="1:4" x14ac:dyDescent="0.25">
      <c r="A254" t="str">
        <f>T("   170199")</f>
        <v xml:space="preserve">   170199</v>
      </c>
      <c r="B254"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254">
        <v>140471774.88800001</v>
      </c>
      <c r="D254">
        <v>650000</v>
      </c>
    </row>
    <row r="255" spans="1:4" x14ac:dyDescent="0.25">
      <c r="A255" t="str">
        <f>T("   220290")</f>
        <v xml:space="preserve">   220290</v>
      </c>
      <c r="B255" t="str">
        <f>T("   BOISSONS NON-ALCOOLIQUES (À L'EXCL. DES EAUX, DES JUS DE FRUITS OU DE LÉGUMES AINSI QUE DU LAIT)")</f>
        <v xml:space="preserve">   BOISSONS NON-ALCOOLIQUES (À L'EXCL. DES EAUX, DES JUS DE FRUITS OU DE LÉGUMES AINSI QUE DU LAIT)</v>
      </c>
      <c r="C255">
        <v>3542184</v>
      </c>
      <c r="D255">
        <v>17463</v>
      </c>
    </row>
    <row r="256" spans="1:4" x14ac:dyDescent="0.25">
      <c r="A256" t="str">
        <f>T("   220421")</f>
        <v xml:space="preserve">   220421</v>
      </c>
      <c r="B25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256">
        <v>1339470</v>
      </c>
      <c r="D256">
        <v>14200</v>
      </c>
    </row>
    <row r="257" spans="1:4" x14ac:dyDescent="0.25">
      <c r="A257" t="str">
        <f>T("AS")</f>
        <v>AS</v>
      </c>
      <c r="B257" t="str">
        <f>T("Samoa Américaines")</f>
        <v>Samoa Américaines</v>
      </c>
    </row>
    <row r="258" spans="1:4" x14ac:dyDescent="0.25">
      <c r="A258" t="str">
        <f>T("   ZZ_Total_Produit_SH6")</f>
        <v xml:space="preserve">   ZZ_Total_Produit_SH6</v>
      </c>
      <c r="B258" t="str">
        <f>T("   ZZ_Total_Produit_SH6")</f>
        <v xml:space="preserve">   ZZ_Total_Produit_SH6</v>
      </c>
      <c r="C258">
        <v>80000</v>
      </c>
      <c r="D258">
        <v>55</v>
      </c>
    </row>
    <row r="259" spans="1:4" x14ac:dyDescent="0.25">
      <c r="A259" t="str">
        <f>T("   621490")</f>
        <v xml:space="preserve">   621490</v>
      </c>
      <c r="B259"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59">
        <v>80000</v>
      </c>
      <c r="D259">
        <v>55</v>
      </c>
    </row>
    <row r="260" spans="1:4" x14ac:dyDescent="0.25">
      <c r="A260" t="str">
        <f>T("AT")</f>
        <v>AT</v>
      </c>
      <c r="B260" t="str">
        <f>T("Autriche")</f>
        <v>Autriche</v>
      </c>
    </row>
    <row r="261" spans="1:4" x14ac:dyDescent="0.25">
      <c r="A261" t="str">
        <f>T("   ZZ_Total_Produit_SH6")</f>
        <v xml:space="preserve">   ZZ_Total_Produit_SH6</v>
      </c>
      <c r="B261" t="str">
        <f>T("   ZZ_Total_Produit_SH6")</f>
        <v xml:space="preserve">   ZZ_Total_Produit_SH6</v>
      </c>
      <c r="C261">
        <v>443738533</v>
      </c>
      <c r="D261">
        <v>15541.16</v>
      </c>
    </row>
    <row r="262" spans="1:4" x14ac:dyDescent="0.25">
      <c r="A262" t="str">
        <f>T("   080410")</f>
        <v xml:space="preserve">   080410</v>
      </c>
      <c r="B262" t="str">
        <f>T("   Dattes, fraîches ou sèches")</f>
        <v xml:space="preserve">   Dattes, fraîches ou sèches</v>
      </c>
      <c r="C262">
        <v>30000</v>
      </c>
      <c r="D262">
        <v>150</v>
      </c>
    </row>
    <row r="263" spans="1:4" x14ac:dyDescent="0.25">
      <c r="A263" t="str">
        <f>T("   240220")</f>
        <v xml:space="preserve">   240220</v>
      </c>
      <c r="B263" t="str">
        <f>T("   Cigarettes contenant du tabac")</f>
        <v xml:space="preserve">   Cigarettes contenant du tabac</v>
      </c>
      <c r="C263">
        <v>68000</v>
      </c>
      <c r="D263">
        <v>75</v>
      </c>
    </row>
    <row r="264" spans="1:4" x14ac:dyDescent="0.25">
      <c r="A264" t="str">
        <f>T("   271019")</f>
        <v xml:space="preserve">   271019</v>
      </c>
      <c r="B264" t="str">
        <f>T("   Huiles moyennes et préparations, de pétrole ou de minéraux bitumineux, n.d.a.")</f>
        <v xml:space="preserve">   Huiles moyennes et préparations, de pétrole ou de minéraux bitumineux, n.d.a.</v>
      </c>
      <c r="C264">
        <v>1678897</v>
      </c>
      <c r="D264">
        <v>11.1</v>
      </c>
    </row>
    <row r="265" spans="1:4" x14ac:dyDescent="0.25">
      <c r="A265" t="str">
        <f>T("   310490")</f>
        <v xml:space="preserve">   310490</v>
      </c>
      <c r="B265" t="s">
        <v>89</v>
      </c>
      <c r="C265">
        <v>20000</v>
      </c>
      <c r="D265">
        <v>30</v>
      </c>
    </row>
    <row r="266" spans="1:4" x14ac:dyDescent="0.25">
      <c r="A266" t="str">
        <f>T("   320210")</f>
        <v xml:space="preserve">   320210</v>
      </c>
      <c r="B266" t="str">
        <f>T("   Produits tannants organiques synthétiques")</f>
        <v xml:space="preserve">   Produits tannants organiques synthétiques</v>
      </c>
      <c r="C266">
        <v>70000</v>
      </c>
      <c r="D266">
        <v>20</v>
      </c>
    </row>
    <row r="267" spans="1:4" x14ac:dyDescent="0.25">
      <c r="A267" t="str">
        <f>T("   320810")</f>
        <v xml:space="preserve">   320810</v>
      </c>
      <c r="B267"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267">
        <v>36216</v>
      </c>
      <c r="D267">
        <v>6.5</v>
      </c>
    </row>
    <row r="268" spans="1:4" x14ac:dyDescent="0.25">
      <c r="A268" t="str">
        <f>T("   321410")</f>
        <v xml:space="preserve">   321410</v>
      </c>
      <c r="B268" t="str">
        <f>T("   Mastic de vitrier, ciments de résine et autres mastics; enduits utilisés en peinture")</f>
        <v xml:space="preserve">   Mastic de vitrier, ciments de résine et autres mastics; enduits utilisés en peinture</v>
      </c>
      <c r="C268">
        <v>58118</v>
      </c>
      <c r="D268">
        <v>10.5</v>
      </c>
    </row>
    <row r="269" spans="1:4" x14ac:dyDescent="0.25">
      <c r="A269" t="str">
        <f>T("   330499")</f>
        <v xml:space="preserve">   330499</v>
      </c>
      <c r="B269" t="s">
        <v>106</v>
      </c>
      <c r="C269">
        <v>140000</v>
      </c>
      <c r="D269">
        <v>77</v>
      </c>
    </row>
    <row r="270" spans="1:4" x14ac:dyDescent="0.25">
      <c r="A270" t="str">
        <f>T("   340290")</f>
        <v xml:space="preserve">   340290</v>
      </c>
      <c r="B270" t="s">
        <v>110</v>
      </c>
      <c r="C270">
        <v>152839</v>
      </c>
      <c r="D270">
        <v>27.6</v>
      </c>
    </row>
    <row r="271" spans="1:4" x14ac:dyDescent="0.25">
      <c r="A271" t="str">
        <f>T("   382000")</f>
        <v xml:space="preserve">   382000</v>
      </c>
      <c r="B271"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271">
        <v>276028</v>
      </c>
      <c r="D271">
        <v>49.8</v>
      </c>
    </row>
    <row r="272" spans="1:4" x14ac:dyDescent="0.25">
      <c r="A272" t="str">
        <f>T("   400911")</f>
        <v xml:space="preserve">   400911</v>
      </c>
      <c r="B272"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272">
        <v>14667136</v>
      </c>
      <c r="D272">
        <v>534.76</v>
      </c>
    </row>
    <row r="273" spans="1:4" x14ac:dyDescent="0.25">
      <c r="A273" t="str">
        <f>T("   401699")</f>
        <v xml:space="preserve">   401699</v>
      </c>
      <c r="B273" t="str">
        <f>T("   OUVRAGES EN CAOUTCHOUC VULCANISÉ NON-DURCI, N.D.A.")</f>
        <v xml:space="preserve">   OUVRAGES EN CAOUTCHOUC VULCANISÉ NON-DURCI, N.D.A.</v>
      </c>
      <c r="C273">
        <v>205998</v>
      </c>
      <c r="D273">
        <v>3</v>
      </c>
    </row>
    <row r="274" spans="1:4" x14ac:dyDescent="0.25">
      <c r="A274" t="str">
        <f>T("   490199")</f>
        <v xml:space="preserve">   490199</v>
      </c>
      <c r="B27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74">
        <v>100000</v>
      </c>
      <c r="D274">
        <v>44</v>
      </c>
    </row>
    <row r="275" spans="1:4" x14ac:dyDescent="0.25">
      <c r="A275" t="str">
        <f>T("   490600")</f>
        <v xml:space="preserve">   490600</v>
      </c>
      <c r="B275" t="s">
        <v>236</v>
      </c>
      <c r="C275">
        <v>107505</v>
      </c>
      <c r="D275">
        <v>2.29</v>
      </c>
    </row>
    <row r="276" spans="1:4" x14ac:dyDescent="0.25">
      <c r="A276" t="str">
        <f>T("   520859")</f>
        <v xml:space="preserve">   520859</v>
      </c>
      <c r="B276" t="str">
        <f>T("   TISSUS DE COTON, IMPRIMÉS, CONTENANT &gt;= 85% EN POIDS DE COTON, D'UN POIDS &lt;= 200 G/M² (À L'EXCL. DES TISSUS À ARMURE TOILE)")</f>
        <v xml:space="preserve">   TISSUS DE COTON, IMPRIMÉS, CONTENANT &gt;= 85% EN POIDS DE COTON, D'UN POIDS &lt;= 200 G/M² (À L'EXCL. DES TISSUS À ARMURE TOILE)</v>
      </c>
      <c r="C276">
        <v>185000</v>
      </c>
      <c r="D276">
        <v>46.6</v>
      </c>
    </row>
    <row r="277" spans="1:4" x14ac:dyDescent="0.25">
      <c r="A277" t="str">
        <f>T("   581099")</f>
        <v xml:space="preserve">   581099</v>
      </c>
      <c r="B277"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277">
        <v>224000</v>
      </c>
      <c r="D277">
        <v>287</v>
      </c>
    </row>
    <row r="278" spans="1:4" x14ac:dyDescent="0.25">
      <c r="A278" t="str">
        <f>T("   621050")</f>
        <v xml:space="preserve">   621050</v>
      </c>
      <c r="B278" t="s">
        <v>295</v>
      </c>
      <c r="C278">
        <v>72310</v>
      </c>
      <c r="D278">
        <v>80</v>
      </c>
    </row>
    <row r="279" spans="1:4" x14ac:dyDescent="0.25">
      <c r="A279" t="str">
        <f>T("   621132")</f>
        <v xml:space="preserve">   621132</v>
      </c>
      <c r="B279" t="str">
        <f>T("   Survêtements de sport 'trainings' et autres vêtements n.d.a., de coton, pour hommes ou garçonnets (autres qu'en bonneterie)")</f>
        <v xml:space="preserve">   Survêtements de sport 'trainings' et autres vêtements n.d.a., de coton, pour hommes ou garçonnets (autres qu'en bonneterie)</v>
      </c>
      <c r="C279">
        <v>650000</v>
      </c>
      <c r="D279">
        <v>290</v>
      </c>
    </row>
    <row r="280" spans="1:4" x14ac:dyDescent="0.25">
      <c r="A280" t="str">
        <f>T("   621490")</f>
        <v xml:space="preserve">   621490</v>
      </c>
      <c r="B280"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80">
        <v>142842</v>
      </c>
      <c r="D280">
        <v>88</v>
      </c>
    </row>
    <row r="281" spans="1:4" x14ac:dyDescent="0.25">
      <c r="A281" t="str">
        <f>T("   640219")</f>
        <v xml:space="preserve">   640219</v>
      </c>
      <c r="B281" t="s">
        <v>303</v>
      </c>
      <c r="C281">
        <v>42000</v>
      </c>
      <c r="D281">
        <v>100</v>
      </c>
    </row>
    <row r="282" spans="1:4" x14ac:dyDescent="0.25">
      <c r="A282" t="str">
        <f>T("   640590")</f>
        <v xml:space="preserve">   640590</v>
      </c>
      <c r="B282" t="s">
        <v>311</v>
      </c>
      <c r="C282">
        <v>650000</v>
      </c>
      <c r="D282">
        <v>495</v>
      </c>
    </row>
    <row r="283" spans="1:4" x14ac:dyDescent="0.25">
      <c r="A283" t="str">
        <f>T("   722699")</f>
        <v xml:space="preserve">   722699</v>
      </c>
      <c r="B283" t="str">
        <f>T("   PRODUITS LAMINÉS PLATS EN ACIERS ALLIÉS AUTRES QU'ACIERS INOXYDABLES, LARGEUR &lt; 600 MM, LAMINÉS À CHAUD OU À FROID ET AUTREMENT TRAITÉS (SAUF PRODUITS EN ACIERS À COUPE RAPIDE OU ACIERS AU SILICIUM DITS -MAGNÉTIQUES-)")</f>
        <v xml:space="preserve">   PRODUITS LAMINÉS PLATS EN ACIERS ALLIÉS AUTRES QU'ACIERS INOXYDABLES, LARGEUR &lt; 600 MM, LAMINÉS À CHAUD OU À FROID ET AUTREMENT TRAITÉS (SAUF PRODUITS EN ACIERS À COUPE RAPIDE OU ACIERS AU SILICIUM DITS -MAGNÉTIQUES-)</v>
      </c>
      <c r="C283">
        <v>432934</v>
      </c>
      <c r="D283">
        <v>5</v>
      </c>
    </row>
    <row r="284" spans="1:4" x14ac:dyDescent="0.25">
      <c r="A284" t="str">
        <f>T("   730439")</f>
        <v xml:space="preserve">   730439</v>
      </c>
      <c r="B284" t="s">
        <v>371</v>
      </c>
      <c r="C284">
        <v>1785451</v>
      </c>
      <c r="D284">
        <v>119</v>
      </c>
    </row>
    <row r="285" spans="1:4" x14ac:dyDescent="0.25">
      <c r="A285" t="str">
        <f>T("   730799")</f>
        <v xml:space="preserve">   730799</v>
      </c>
      <c r="B28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285">
        <v>654386</v>
      </c>
      <c r="D285">
        <v>3</v>
      </c>
    </row>
    <row r="286" spans="1:4" x14ac:dyDescent="0.25">
      <c r="A286" t="str">
        <f>T("   731290")</f>
        <v xml:space="preserve">   731290</v>
      </c>
      <c r="B286" t="str">
        <f>T("   Tresses, élingues et simil., en fer ou en acier (sauf produits isolés pour l'électricité)")</f>
        <v xml:space="preserve">   Tresses, élingues et simil., en fer ou en acier (sauf produits isolés pour l'électricité)</v>
      </c>
      <c r="C286">
        <v>7481814</v>
      </c>
      <c r="D286">
        <v>538</v>
      </c>
    </row>
    <row r="287" spans="1:4" x14ac:dyDescent="0.25">
      <c r="A287" t="str">
        <f>T("   731815")</f>
        <v xml:space="preserve">   731815</v>
      </c>
      <c r="B287" t="s">
        <v>380</v>
      </c>
      <c r="C287">
        <v>5254325</v>
      </c>
      <c r="D287">
        <v>329.41</v>
      </c>
    </row>
    <row r="288" spans="1:4" x14ac:dyDescent="0.25">
      <c r="A288" t="str">
        <f>T("   732510")</f>
        <v xml:space="preserve">   732510</v>
      </c>
      <c r="B288" t="str">
        <f>T("   OUVRAGES EN FER OU EN ACIER, EN FONTE NON-MALLÉABLE, MOULÉS, N.D.A.")</f>
        <v xml:space="preserve">   OUVRAGES EN FER OU EN ACIER, EN FONTE NON-MALLÉABLE, MOULÉS, N.D.A.</v>
      </c>
      <c r="C288">
        <v>11798812</v>
      </c>
      <c r="D288">
        <v>456</v>
      </c>
    </row>
    <row r="289" spans="1:4" x14ac:dyDescent="0.25">
      <c r="A289" t="str">
        <f>T("   732690")</f>
        <v xml:space="preserve">   732690</v>
      </c>
      <c r="B28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89">
        <v>23349651</v>
      </c>
      <c r="D289">
        <v>499.94</v>
      </c>
    </row>
    <row r="290" spans="1:4" x14ac:dyDescent="0.25">
      <c r="A290" t="str">
        <f>T("   820510")</f>
        <v xml:space="preserve">   820510</v>
      </c>
      <c r="B290" t="str">
        <f>T("   Outils de perçage, de filetage ou de taraudage, maniés à la main")</f>
        <v xml:space="preserve">   Outils de perçage, de filetage ou de taraudage, maniés à la main</v>
      </c>
      <c r="C290">
        <v>37750209</v>
      </c>
      <c r="D290">
        <v>918.31</v>
      </c>
    </row>
    <row r="291" spans="1:4" x14ac:dyDescent="0.25">
      <c r="A291" t="str">
        <f>T("   840999")</f>
        <v xml:space="preserve">   840999</v>
      </c>
      <c r="B29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91">
        <v>18119043</v>
      </c>
      <c r="D291">
        <v>189</v>
      </c>
    </row>
    <row r="292" spans="1:4" x14ac:dyDescent="0.25">
      <c r="A292" t="str">
        <f>T("   841231")</f>
        <v xml:space="preserve">   841231</v>
      </c>
      <c r="B292" t="str">
        <f>T("   Moteurs pneumatiques, à mouvement rectiligne -cylindres-")</f>
        <v xml:space="preserve">   Moteurs pneumatiques, à mouvement rectiligne -cylindres-</v>
      </c>
      <c r="C292">
        <v>166076</v>
      </c>
      <c r="D292">
        <v>6</v>
      </c>
    </row>
    <row r="293" spans="1:4" x14ac:dyDescent="0.25">
      <c r="A293" t="str">
        <f>T("   841350")</f>
        <v xml:space="preserve">   841350</v>
      </c>
      <c r="B293" t="s">
        <v>417</v>
      </c>
      <c r="C293">
        <v>16424156</v>
      </c>
      <c r="D293">
        <v>332</v>
      </c>
    </row>
    <row r="294" spans="1:4" x14ac:dyDescent="0.25">
      <c r="A294" t="str">
        <f>T("   841381")</f>
        <v xml:space="preserve">   841381</v>
      </c>
      <c r="B294" t="s">
        <v>420</v>
      </c>
      <c r="C294">
        <v>936717</v>
      </c>
      <c r="D294">
        <v>65</v>
      </c>
    </row>
    <row r="295" spans="1:4" x14ac:dyDescent="0.25">
      <c r="A295" t="str">
        <f>T("   841581")</f>
        <v xml:space="preserve">   841581</v>
      </c>
      <c r="B295" t="s">
        <v>423</v>
      </c>
      <c r="C295">
        <v>12320241</v>
      </c>
      <c r="D295">
        <v>157</v>
      </c>
    </row>
    <row r="296" spans="1:4" x14ac:dyDescent="0.25">
      <c r="A296" t="str">
        <f>T("   841950")</f>
        <v xml:space="preserve">   841950</v>
      </c>
      <c r="B296"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296">
        <v>6215877</v>
      </c>
      <c r="D296">
        <v>490</v>
      </c>
    </row>
    <row r="297" spans="1:4" x14ac:dyDescent="0.25">
      <c r="A297" t="str">
        <f>T("   842129")</f>
        <v xml:space="preserve">   842129</v>
      </c>
      <c r="B29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97">
        <v>42932719</v>
      </c>
      <c r="D297">
        <v>1151.76</v>
      </c>
    </row>
    <row r="298" spans="1:4" x14ac:dyDescent="0.25">
      <c r="A298" t="str">
        <f>T("   842490")</f>
        <v xml:space="preserve">   842490</v>
      </c>
      <c r="B298" t="s">
        <v>432</v>
      </c>
      <c r="C298">
        <v>3936</v>
      </c>
      <c r="D298">
        <v>0.45</v>
      </c>
    </row>
    <row r="299" spans="1:4" x14ac:dyDescent="0.25">
      <c r="A299" t="str">
        <f>T("   843120")</f>
        <v xml:space="preserve">   843120</v>
      </c>
      <c r="B299" t="str">
        <f>T("   Parties de chariots-gerbeurs et autres chariots de manutention munis d'un dispositif de levage, n.d.a.")</f>
        <v xml:space="preserve">   Parties de chariots-gerbeurs et autres chariots de manutention munis d'un dispositif de levage, n.d.a.</v>
      </c>
      <c r="C299">
        <v>5611934</v>
      </c>
      <c r="D299">
        <v>122.8</v>
      </c>
    </row>
    <row r="300" spans="1:4" x14ac:dyDescent="0.25">
      <c r="A300" t="str">
        <f>T("   843139")</f>
        <v xml:space="preserve">   843139</v>
      </c>
      <c r="B300" t="str">
        <f>T("   Parties de machines et appareils du n° 8428, n.d.a.")</f>
        <v xml:space="preserve">   Parties de machines et appareils du n° 8428, n.d.a.</v>
      </c>
      <c r="C300">
        <v>34566953</v>
      </c>
      <c r="D300">
        <v>2191</v>
      </c>
    </row>
    <row r="301" spans="1:4" x14ac:dyDescent="0.25">
      <c r="A301" t="str">
        <f>T("   843149")</f>
        <v xml:space="preserve">   843149</v>
      </c>
      <c r="B301" t="str">
        <f>T("   Parties de machines et appareils du n° 8426, 8429 ou 8430, n.d.a.")</f>
        <v xml:space="preserve">   Parties de machines et appareils du n° 8426, 8429 ou 8430, n.d.a.</v>
      </c>
      <c r="C301">
        <v>18143026</v>
      </c>
      <c r="D301">
        <v>475.16</v>
      </c>
    </row>
    <row r="302" spans="1:4" x14ac:dyDescent="0.25">
      <c r="A302" t="str">
        <f>T("   847141")</f>
        <v xml:space="preserve">   847141</v>
      </c>
      <c r="B302" t="s">
        <v>458</v>
      </c>
      <c r="C302">
        <v>490000</v>
      </c>
      <c r="D302">
        <v>184</v>
      </c>
    </row>
    <row r="303" spans="1:4" x14ac:dyDescent="0.25">
      <c r="A303" t="str">
        <f>T("   847190")</f>
        <v xml:space="preserve">   847190</v>
      </c>
      <c r="B30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03">
        <v>498000</v>
      </c>
      <c r="D303">
        <v>99</v>
      </c>
    </row>
    <row r="304" spans="1:4" x14ac:dyDescent="0.25">
      <c r="A304" t="str">
        <f>T("   848130")</f>
        <v xml:space="preserve">   848130</v>
      </c>
      <c r="B304" t="str">
        <f>T("   Clapets et soupapes de retenue, pour tuyauteries, chaudières, réservoirs, cuves ou contenants simil.")</f>
        <v xml:space="preserve">   Clapets et soupapes de retenue, pour tuyauteries, chaudières, réservoirs, cuves ou contenants simil.</v>
      </c>
      <c r="C304">
        <v>4387198</v>
      </c>
      <c r="D304">
        <v>23</v>
      </c>
    </row>
    <row r="305" spans="1:4" x14ac:dyDescent="0.25">
      <c r="A305" t="str">
        <f>T("   848180")</f>
        <v xml:space="preserve">   848180</v>
      </c>
      <c r="B305"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05">
        <v>5492261</v>
      </c>
      <c r="D305">
        <v>36.9</v>
      </c>
    </row>
    <row r="306" spans="1:4" x14ac:dyDescent="0.25">
      <c r="A306" t="str">
        <f>T("   848210")</f>
        <v xml:space="preserve">   848210</v>
      </c>
      <c r="B306" t="str">
        <f>T("   Roulements à billes")</f>
        <v xml:space="preserve">   Roulements à billes</v>
      </c>
      <c r="C306">
        <v>938600</v>
      </c>
      <c r="D306">
        <v>22</v>
      </c>
    </row>
    <row r="307" spans="1:4" x14ac:dyDescent="0.25">
      <c r="A307" t="str">
        <f>T("   848310")</f>
        <v xml:space="preserve">   848310</v>
      </c>
      <c r="B307" t="str">
        <f>T("   Arbres de transmission pour machines, y.c. -les arbres à cames et les vilebrequins- et manivelles")</f>
        <v xml:space="preserve">   Arbres de transmission pour machines, y.c. -les arbres à cames et les vilebrequins- et manivelles</v>
      </c>
      <c r="C307">
        <v>5835289</v>
      </c>
      <c r="D307">
        <v>232.4</v>
      </c>
    </row>
    <row r="308" spans="1:4" x14ac:dyDescent="0.25">
      <c r="A308" t="str">
        <f>T("   848330")</f>
        <v xml:space="preserve">   848330</v>
      </c>
      <c r="B308" t="str">
        <f>T("   Paliers pour machines, sans roulements incorporés; coussinets et coquilles de coussinets pour machines")</f>
        <v xml:space="preserve">   Paliers pour machines, sans roulements incorporés; coussinets et coquilles de coussinets pour machines</v>
      </c>
      <c r="C308">
        <v>5861881</v>
      </c>
      <c r="D308">
        <v>287</v>
      </c>
    </row>
    <row r="309" spans="1:4" x14ac:dyDescent="0.25">
      <c r="A309" t="str">
        <f>T("   848340")</f>
        <v xml:space="preserve">   848340</v>
      </c>
      <c r="B309" t="s">
        <v>468</v>
      </c>
      <c r="C309">
        <v>13788443</v>
      </c>
      <c r="D309">
        <v>674</v>
      </c>
    </row>
    <row r="310" spans="1:4" x14ac:dyDescent="0.25">
      <c r="A310" t="str">
        <f>T("   848390")</f>
        <v xml:space="preserve">   848390</v>
      </c>
      <c r="B310"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10">
        <v>15335689</v>
      </c>
      <c r="D310">
        <v>614</v>
      </c>
    </row>
    <row r="311" spans="1:4" x14ac:dyDescent="0.25">
      <c r="A311" t="str">
        <f>T("   848410")</f>
        <v xml:space="preserve">   848410</v>
      </c>
      <c r="B311" t="str">
        <f>T("   Joints métalloplastiques")</f>
        <v xml:space="preserve">   Joints métalloplastiques</v>
      </c>
      <c r="C311">
        <v>12379933</v>
      </c>
      <c r="D311">
        <v>282</v>
      </c>
    </row>
    <row r="312" spans="1:4" x14ac:dyDescent="0.25">
      <c r="A312" t="str">
        <f>T("   850162")</f>
        <v xml:space="preserve">   850162</v>
      </c>
      <c r="B312" t="str">
        <f>T("   Alternateurs, puissance &gt; 75 kVA mais &lt;= 375 kVA")</f>
        <v xml:space="preserve">   Alternateurs, puissance &gt; 75 kVA mais &lt;= 375 kVA</v>
      </c>
      <c r="C312">
        <v>3862903</v>
      </c>
      <c r="D312">
        <v>60</v>
      </c>
    </row>
    <row r="313" spans="1:4" x14ac:dyDescent="0.25">
      <c r="A313" t="str">
        <f>T("   850300")</f>
        <v xml:space="preserve">   850300</v>
      </c>
      <c r="B31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13">
        <v>1925899</v>
      </c>
      <c r="D313">
        <v>1.7</v>
      </c>
    </row>
    <row r="314" spans="1:4" x14ac:dyDescent="0.25">
      <c r="A314" t="str">
        <f>T("   851140")</f>
        <v xml:space="preserve">   851140</v>
      </c>
      <c r="B314" t="str">
        <f>T("   Démarreurs, même fonctionnant comme génératrices, pour moteurs à allumage par étincelles ou par compression")</f>
        <v xml:space="preserve">   Démarreurs, même fonctionnant comme génératrices, pour moteurs à allumage par étincelles ou par compression</v>
      </c>
      <c r="C314">
        <v>3279144</v>
      </c>
      <c r="D314">
        <v>65</v>
      </c>
    </row>
    <row r="315" spans="1:4" x14ac:dyDescent="0.25">
      <c r="A315" t="str">
        <f>T("   851240")</f>
        <v xml:space="preserve">   851240</v>
      </c>
      <c r="B315" t="str">
        <f>T("   Essuie-glaces, dégivreurs et dispositifs antibuée électriques, des types utilisés pour automobiles")</f>
        <v xml:space="preserve">   Essuie-glaces, dégivreurs et dispositifs antibuée électriques, des types utilisés pour automobiles</v>
      </c>
      <c r="C315">
        <v>3418601</v>
      </c>
      <c r="D315">
        <v>26</v>
      </c>
    </row>
    <row r="316" spans="1:4" x14ac:dyDescent="0.25">
      <c r="A316" t="str">
        <f>T("   851718")</f>
        <v xml:space="preserve">   851718</v>
      </c>
      <c r="B316"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316">
        <v>150000</v>
      </c>
      <c r="D316">
        <v>45</v>
      </c>
    </row>
    <row r="317" spans="1:4" x14ac:dyDescent="0.25">
      <c r="A317" t="str">
        <f>T("   851769")</f>
        <v xml:space="preserve">   851769</v>
      </c>
      <c r="B317" t="s">
        <v>481</v>
      </c>
      <c r="C317">
        <v>609514</v>
      </c>
      <c r="D317">
        <v>8.5</v>
      </c>
    </row>
    <row r="318" spans="1:4" x14ac:dyDescent="0.25">
      <c r="A318" t="str">
        <f>T("   851810")</f>
        <v xml:space="preserve">   851810</v>
      </c>
      <c r="B318" t="str">
        <f>T("   Microphones et leurs supports (autres que sans fil, avec émetteur incorporé)")</f>
        <v xml:space="preserve">   Microphones et leurs supports (autres que sans fil, avec émetteur incorporé)</v>
      </c>
      <c r="C318">
        <v>594956</v>
      </c>
      <c r="D318">
        <v>1.9</v>
      </c>
    </row>
    <row r="319" spans="1:4" x14ac:dyDescent="0.25">
      <c r="A319" t="str">
        <f>T("   852560")</f>
        <v xml:space="preserve">   852560</v>
      </c>
      <c r="B319" t="str">
        <f>T("   APPAREILS D'ÉMISSION POUR LA RADIODIFFUSION OU LA TÉLÉVISION, INCORPORANT UN APPAREIL DE RÉCEPTION")</f>
        <v xml:space="preserve">   APPAREILS D'ÉMISSION POUR LA RADIODIFFUSION OU LA TÉLÉVISION, INCORPORANT UN APPAREIL DE RÉCEPTION</v>
      </c>
      <c r="C319">
        <v>6575153</v>
      </c>
      <c r="D319">
        <v>35.4</v>
      </c>
    </row>
    <row r="320" spans="1:4" x14ac:dyDescent="0.25">
      <c r="A320" t="str">
        <f>T("   852859")</f>
        <v xml:space="preserve">   852859</v>
      </c>
      <c r="B320"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320">
        <v>9148727</v>
      </c>
      <c r="D320">
        <v>29.01</v>
      </c>
    </row>
    <row r="321" spans="1:4" x14ac:dyDescent="0.25">
      <c r="A321" t="str">
        <f>T("   853339")</f>
        <v xml:space="preserve">   853339</v>
      </c>
      <c r="B321"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321">
        <v>100000</v>
      </c>
      <c r="D321">
        <v>30</v>
      </c>
    </row>
    <row r="322" spans="1:4" x14ac:dyDescent="0.25">
      <c r="A322" t="str">
        <f>T("   853529")</f>
        <v xml:space="preserve">   853529</v>
      </c>
      <c r="B322" t="str">
        <f>T("   Disjoncteurs, pour une tension &gt;= 72,5 kV")</f>
        <v xml:space="preserve">   Disjoncteurs, pour une tension &gt;= 72,5 kV</v>
      </c>
      <c r="C322">
        <v>6433590</v>
      </c>
      <c r="D322">
        <v>59</v>
      </c>
    </row>
    <row r="323" spans="1:4" x14ac:dyDescent="0.25">
      <c r="A323" t="str">
        <f>T("   853650")</f>
        <v xml:space="preserve">   853650</v>
      </c>
      <c r="B323" t="str">
        <f>T("   Interrupteurs, sectionneurs et commutateurs, pour une tension &lt;= 1.000 V (autres que relais et disjoncteurs)")</f>
        <v xml:space="preserve">   Interrupteurs, sectionneurs et commutateurs, pour une tension &lt;= 1.000 V (autres que relais et disjoncteurs)</v>
      </c>
      <c r="C323">
        <v>12236592</v>
      </c>
      <c r="D323">
        <v>200</v>
      </c>
    </row>
    <row r="324" spans="1:4" x14ac:dyDescent="0.25">
      <c r="A324" t="str">
        <f>T("   853669")</f>
        <v xml:space="preserve">   853669</v>
      </c>
      <c r="B324" t="str">
        <f>T("   Fiches et prises de courant, pour une tension &lt;= 1.000 V (sauf douilles pour lampes)")</f>
        <v xml:space="preserve">   Fiches et prises de courant, pour une tension &lt;= 1.000 V (sauf douilles pour lampes)</v>
      </c>
      <c r="C324">
        <v>5631567</v>
      </c>
      <c r="D324">
        <v>36.950000000000003</v>
      </c>
    </row>
    <row r="325" spans="1:4" x14ac:dyDescent="0.25">
      <c r="A325" t="str">
        <f>T("   853690")</f>
        <v xml:space="preserve">   853690</v>
      </c>
      <c r="B325" t="s">
        <v>499</v>
      </c>
      <c r="C325">
        <v>3081044</v>
      </c>
      <c r="D325">
        <v>70</v>
      </c>
    </row>
    <row r="326" spans="1:4" x14ac:dyDescent="0.25">
      <c r="A326" t="str">
        <f>T("   853810")</f>
        <v xml:space="preserve">   853810</v>
      </c>
      <c r="B326" t="str">
        <f>T("   Tableaux, panneaux, consoles, pupitres, armoires et autres supports pour articles du n° 8537, dépourvus de leurs appareils")</f>
        <v xml:space="preserve">   Tableaux, panneaux, consoles, pupitres, armoires et autres supports pour articles du n° 8537, dépourvus de leurs appareils</v>
      </c>
      <c r="C326">
        <v>7390052</v>
      </c>
      <c r="D326">
        <v>20.8</v>
      </c>
    </row>
    <row r="327" spans="1:4" x14ac:dyDescent="0.25">
      <c r="A327" t="str">
        <f>T("   854460")</f>
        <v xml:space="preserve">   854460</v>
      </c>
      <c r="B327" t="str">
        <f>T("   Conducteurs électriques, pour tension &gt; 1.000 V, n.d.a.")</f>
        <v xml:space="preserve">   Conducteurs électriques, pour tension &gt; 1.000 V, n.d.a.</v>
      </c>
      <c r="C327">
        <v>42971192</v>
      </c>
      <c r="D327">
        <v>677.62</v>
      </c>
    </row>
    <row r="328" spans="1:4" x14ac:dyDescent="0.25">
      <c r="A328" t="str">
        <f>T("   870323")</f>
        <v xml:space="preserve">   870323</v>
      </c>
      <c r="B328" t="s">
        <v>507</v>
      </c>
      <c r="C328">
        <v>1200000</v>
      </c>
      <c r="D328">
        <v>750</v>
      </c>
    </row>
    <row r="329" spans="1:4" x14ac:dyDescent="0.25">
      <c r="A329" t="str">
        <f>T("   870899")</f>
        <v xml:space="preserve">   870899</v>
      </c>
      <c r="B32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29">
        <v>2080541</v>
      </c>
      <c r="D329">
        <v>65</v>
      </c>
    </row>
    <row r="330" spans="1:4" x14ac:dyDescent="0.25">
      <c r="A330" t="str">
        <f>T("   871140")</f>
        <v xml:space="preserve">   871140</v>
      </c>
      <c r="B330" t="str">
        <f>T("   Motocycles à moteur à piston alternatif, cylindrée &gt; 500 cm³ mais &lt;= 800 cm³")</f>
        <v xml:space="preserve">   Motocycles à moteur à piston alternatif, cylindrée &gt; 500 cm³ mais &lt;= 800 cm³</v>
      </c>
      <c r="C330">
        <v>500000</v>
      </c>
      <c r="D330">
        <v>300</v>
      </c>
    </row>
    <row r="331" spans="1:4" x14ac:dyDescent="0.25">
      <c r="A331" t="str">
        <f>T("   903190")</f>
        <v xml:space="preserve">   903190</v>
      </c>
      <c r="B331" t="str">
        <f>T("   Parties et accessoires des instruments, appareils et machines de mesure ou de contrôle, n.d.a.")</f>
        <v xml:space="preserve">   Parties et accessoires des instruments, appareils et machines de mesure ou de contrôle, n.d.a.</v>
      </c>
      <c r="C331">
        <v>1769268</v>
      </c>
      <c r="D331">
        <v>16</v>
      </c>
    </row>
    <row r="332" spans="1:4" x14ac:dyDescent="0.25">
      <c r="A332" t="str">
        <f>T("   903289")</f>
        <v xml:space="preserve">   903289</v>
      </c>
      <c r="B332" t="s">
        <v>534</v>
      </c>
      <c r="C332">
        <v>1601887</v>
      </c>
      <c r="D332">
        <v>1</v>
      </c>
    </row>
    <row r="333" spans="1:4" x14ac:dyDescent="0.25">
      <c r="A333" t="str">
        <f>T("   940540")</f>
        <v xml:space="preserve">   940540</v>
      </c>
      <c r="B333" t="str">
        <f>T("   Appareils d'éclairage électrique, n.d.a.")</f>
        <v xml:space="preserve">   Appareils d'éclairage électrique, n.d.a.</v>
      </c>
      <c r="C333">
        <v>592660</v>
      </c>
      <c r="D333">
        <v>3</v>
      </c>
    </row>
    <row r="334" spans="1:4" x14ac:dyDescent="0.25">
      <c r="A334" t="str">
        <f>T("   960400")</f>
        <v xml:space="preserve">   960400</v>
      </c>
      <c r="B334" t="str">
        <f>T("   Tamis et cribles, à main (sauf simples égouttoirs et passoires)")</f>
        <v xml:space="preserve">   Tamis et cribles, à main (sauf simples égouttoirs et passoires)</v>
      </c>
      <c r="C334">
        <v>30800</v>
      </c>
      <c r="D334">
        <v>43</v>
      </c>
    </row>
    <row r="335" spans="1:4" x14ac:dyDescent="0.25">
      <c r="A335" t="str">
        <f>T("   970300")</f>
        <v xml:space="preserve">   970300</v>
      </c>
      <c r="B335" t="str">
        <f>T("   Productions originales de l'art statuaire ou de la sculpture, en toutes matières")</f>
        <v xml:space="preserve">   Productions originales de l'art statuaire ou de la sculpture, en toutes matières</v>
      </c>
      <c r="C335">
        <v>22000</v>
      </c>
      <c r="D335">
        <v>65</v>
      </c>
    </row>
    <row r="336" spans="1:4" x14ac:dyDescent="0.25">
      <c r="A336" t="str">
        <f>T("AU")</f>
        <v>AU</v>
      </c>
      <c r="B336" t="str">
        <f>T("Australie")</f>
        <v>Australie</v>
      </c>
    </row>
    <row r="337" spans="1:4" x14ac:dyDescent="0.25">
      <c r="A337" t="str">
        <f>T("   ZZ_Total_Produit_SH6")</f>
        <v xml:space="preserve">   ZZ_Total_Produit_SH6</v>
      </c>
      <c r="B337" t="str">
        <f>T("   ZZ_Total_Produit_SH6")</f>
        <v xml:space="preserve">   ZZ_Total_Produit_SH6</v>
      </c>
      <c r="C337">
        <v>890651329</v>
      </c>
      <c r="D337">
        <v>1319622.1000000001</v>
      </c>
    </row>
    <row r="338" spans="1:4" x14ac:dyDescent="0.25">
      <c r="A338" t="str">
        <f>T("   020714")</f>
        <v xml:space="preserve">   020714</v>
      </c>
      <c r="B338" t="str">
        <f>T("   Morceaux et abats comestibles de coqs et de poules [des espèces domestiques], congelés")</f>
        <v xml:space="preserve">   Morceaux et abats comestibles de coqs et de poules [des espèces domestiques], congelés</v>
      </c>
      <c r="C338">
        <v>326563967</v>
      </c>
      <c r="D338">
        <v>490590</v>
      </c>
    </row>
    <row r="339" spans="1:4" x14ac:dyDescent="0.25">
      <c r="A339" t="str">
        <f>T("   020727")</f>
        <v xml:space="preserve">   020727</v>
      </c>
      <c r="B339" t="str">
        <f>T("   Morceaux et abats comestibles de dindes et dindons [des espèces domestiques], congelés")</f>
        <v xml:space="preserve">   Morceaux et abats comestibles de dindes et dindons [des espèces domestiques], congelés</v>
      </c>
      <c r="C339">
        <v>93300000</v>
      </c>
      <c r="D339">
        <v>128386</v>
      </c>
    </row>
    <row r="340" spans="1:4" x14ac:dyDescent="0.25">
      <c r="A340" t="str">
        <f>T("   200980")</f>
        <v xml:space="preserve">   200980</v>
      </c>
      <c r="B34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40">
        <v>4938664</v>
      </c>
      <c r="D340">
        <v>18874</v>
      </c>
    </row>
    <row r="341" spans="1:4" x14ac:dyDescent="0.25">
      <c r="A341" t="str">
        <f>T("   271113")</f>
        <v xml:space="preserve">   271113</v>
      </c>
      <c r="B341" t="str">
        <f>T("   Butanes, liquéfiés (à l'excl. des butanes d'une pureté &gt;= 95% en n-butane ou en isobutane)")</f>
        <v xml:space="preserve">   Butanes, liquéfiés (à l'excl. des butanes d'une pureté &gt;= 95% en n-butane ou en isobutane)</v>
      </c>
      <c r="C341">
        <v>177100000</v>
      </c>
      <c r="D341">
        <v>506000</v>
      </c>
    </row>
    <row r="342" spans="1:4" x14ac:dyDescent="0.25">
      <c r="A342" t="str">
        <f>T("   401211")</f>
        <v xml:space="preserve">   401211</v>
      </c>
      <c r="B342"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342">
        <v>3300000</v>
      </c>
      <c r="D342">
        <v>13000</v>
      </c>
    </row>
    <row r="343" spans="1:4" x14ac:dyDescent="0.25">
      <c r="A343" t="str">
        <f>T("   401220")</f>
        <v xml:space="preserve">   401220</v>
      </c>
      <c r="B343" t="str">
        <f>T("   Pneumatiques usagés, en caoutchouc")</f>
        <v xml:space="preserve">   Pneumatiques usagés, en caoutchouc</v>
      </c>
      <c r="C343">
        <v>9528041</v>
      </c>
      <c r="D343">
        <v>42800</v>
      </c>
    </row>
    <row r="344" spans="1:4" x14ac:dyDescent="0.25">
      <c r="A344" t="str">
        <f>T("   401310")</f>
        <v xml:space="preserve">   401310</v>
      </c>
      <c r="B34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344">
        <v>600000</v>
      </c>
      <c r="D344">
        <v>2785</v>
      </c>
    </row>
    <row r="345" spans="1:4" x14ac:dyDescent="0.25">
      <c r="A345" t="str">
        <f>T("   401390")</f>
        <v xml:space="preserve">   401390</v>
      </c>
      <c r="B34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45">
        <v>1594800</v>
      </c>
      <c r="D345">
        <v>10000</v>
      </c>
    </row>
    <row r="346" spans="1:4" x14ac:dyDescent="0.25">
      <c r="A346" t="str">
        <f>T("   482190")</f>
        <v xml:space="preserve">   482190</v>
      </c>
      <c r="B346" t="str">
        <f>T("   ÉTIQUETTES DE TOUS GENRES, EN PAPIER OU EN CARTON, NON-IMPRIMÉES")</f>
        <v xml:space="preserve">   ÉTIQUETTES DE TOUS GENRES, EN PAPIER OU EN CARTON, NON-IMPRIMÉES</v>
      </c>
      <c r="C346">
        <v>47489</v>
      </c>
      <c r="D346">
        <v>1</v>
      </c>
    </row>
    <row r="347" spans="1:4" x14ac:dyDescent="0.25">
      <c r="A347" t="str">
        <f>T("   520859")</f>
        <v xml:space="preserve">   520859</v>
      </c>
      <c r="B347" t="str">
        <f>T("   TISSUS DE COTON, IMPRIMÉS, CONTENANT &gt;= 85% EN POIDS DE COTON, D'UN POIDS &lt;= 200 G/M² (À L'EXCL. DES TISSUS À ARMURE TOILE)")</f>
        <v xml:space="preserve">   TISSUS DE COTON, IMPRIMÉS, CONTENANT &gt;= 85% EN POIDS DE COTON, D'UN POIDS &lt;= 200 G/M² (À L'EXCL. DES TISSUS À ARMURE TOILE)</v>
      </c>
      <c r="C347">
        <v>1188640</v>
      </c>
      <c r="D347">
        <v>842</v>
      </c>
    </row>
    <row r="348" spans="1:4" x14ac:dyDescent="0.25">
      <c r="A348" t="str">
        <f>T("   581099")</f>
        <v xml:space="preserve">   581099</v>
      </c>
      <c r="B348"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348">
        <v>243500</v>
      </c>
      <c r="D348">
        <v>241</v>
      </c>
    </row>
    <row r="349" spans="1:4" x14ac:dyDescent="0.25">
      <c r="A349" t="str">
        <f>T("   591132")</f>
        <v xml:space="preserve">   591132</v>
      </c>
      <c r="B349"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349">
        <v>2515607</v>
      </c>
      <c r="D349">
        <v>352</v>
      </c>
    </row>
    <row r="350" spans="1:4" x14ac:dyDescent="0.25">
      <c r="A350" t="str">
        <f>T("   621040")</f>
        <v xml:space="preserve">   621040</v>
      </c>
      <c r="B350" t="s">
        <v>294</v>
      </c>
      <c r="C350">
        <v>421782</v>
      </c>
      <c r="D350">
        <v>3000</v>
      </c>
    </row>
    <row r="351" spans="1:4" x14ac:dyDescent="0.25">
      <c r="A351" t="str">
        <f>T("   630900")</f>
        <v xml:space="preserve">   630900</v>
      </c>
      <c r="B351" t="s">
        <v>300</v>
      </c>
      <c r="C351">
        <v>17508440</v>
      </c>
      <c r="D351">
        <v>33000</v>
      </c>
    </row>
    <row r="352" spans="1:4" x14ac:dyDescent="0.25">
      <c r="A352" t="str">
        <f>T("   640590")</f>
        <v xml:space="preserve">   640590</v>
      </c>
      <c r="B352" t="s">
        <v>311</v>
      </c>
      <c r="C352">
        <v>647433</v>
      </c>
      <c r="D352">
        <v>4000</v>
      </c>
    </row>
    <row r="353" spans="1:4" x14ac:dyDescent="0.25">
      <c r="A353" t="str">
        <f>T("   841231")</f>
        <v xml:space="preserve">   841231</v>
      </c>
      <c r="B353" t="str">
        <f>T("   Moteurs pneumatiques, à mouvement rectiligne -cylindres-")</f>
        <v xml:space="preserve">   Moteurs pneumatiques, à mouvement rectiligne -cylindres-</v>
      </c>
      <c r="C353">
        <v>924248</v>
      </c>
      <c r="D353">
        <v>10</v>
      </c>
    </row>
    <row r="354" spans="1:4" x14ac:dyDescent="0.25">
      <c r="A354" t="str">
        <f>T("   841391")</f>
        <v xml:space="preserve">   841391</v>
      </c>
      <c r="B354" t="str">
        <f>T("   Parties de pompes pour liquides, n.d.a.")</f>
        <v xml:space="preserve">   Parties de pompes pour liquides, n.d.a.</v>
      </c>
      <c r="C354">
        <v>1917142</v>
      </c>
      <c r="D354">
        <v>41</v>
      </c>
    </row>
    <row r="355" spans="1:4" x14ac:dyDescent="0.25">
      <c r="A355" t="str">
        <f>T("   841490")</f>
        <v xml:space="preserve">   841490</v>
      </c>
      <c r="B35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355">
        <v>44775830</v>
      </c>
      <c r="D355">
        <v>23724</v>
      </c>
    </row>
    <row r="356" spans="1:4" x14ac:dyDescent="0.25">
      <c r="A356" t="str">
        <f>T("   841829")</f>
        <v xml:space="preserve">   841829</v>
      </c>
      <c r="B356" t="str">
        <f>T("   Réfrigérateurs ménagers à absorption, non-électriques")</f>
        <v xml:space="preserve">   Réfrigérateurs ménagers à absorption, non-électriques</v>
      </c>
      <c r="C356">
        <v>1500000</v>
      </c>
      <c r="D356">
        <v>26480</v>
      </c>
    </row>
    <row r="357" spans="1:4" x14ac:dyDescent="0.25">
      <c r="A357" t="str">
        <f>T("   843149")</f>
        <v xml:space="preserve">   843149</v>
      </c>
      <c r="B357" t="str">
        <f>T("   Parties de machines et appareils du n° 8426, 8429 ou 8430, n.d.a.")</f>
        <v xml:space="preserve">   Parties de machines et appareils du n° 8426, 8429 ou 8430, n.d.a.</v>
      </c>
      <c r="C357">
        <v>108804</v>
      </c>
      <c r="D357">
        <v>0.6</v>
      </c>
    </row>
    <row r="358" spans="1:4" x14ac:dyDescent="0.25">
      <c r="A358" t="str">
        <f>T("   847130")</f>
        <v xml:space="preserve">   847130</v>
      </c>
      <c r="B358"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58">
        <v>250000</v>
      </c>
      <c r="D358">
        <v>200</v>
      </c>
    </row>
    <row r="359" spans="1:4" x14ac:dyDescent="0.25">
      <c r="A359" t="str">
        <f>T("   848180")</f>
        <v xml:space="preserve">   848180</v>
      </c>
      <c r="B35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59">
        <v>1254851</v>
      </c>
      <c r="D359">
        <v>219</v>
      </c>
    </row>
    <row r="360" spans="1:4" x14ac:dyDescent="0.25">
      <c r="A360" t="str">
        <f>T("   851310")</f>
        <v xml:space="preserve">   851310</v>
      </c>
      <c r="B360" t="str">
        <f>T("   Lampes électriques portatives, destinées à fonctionner au moyen de leur propre source d'énergie")</f>
        <v xml:space="preserve">   Lampes électriques portatives, destinées à fonctionner au moyen de leur propre source d'énergie</v>
      </c>
      <c r="C360">
        <v>80000</v>
      </c>
      <c r="D360">
        <v>9.4</v>
      </c>
    </row>
    <row r="361" spans="1:4" x14ac:dyDescent="0.25">
      <c r="A361" t="str">
        <f>T("   851718")</f>
        <v xml:space="preserve">   851718</v>
      </c>
      <c r="B361"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361">
        <v>83391247</v>
      </c>
      <c r="D361">
        <v>639</v>
      </c>
    </row>
    <row r="362" spans="1:4" x14ac:dyDescent="0.25">
      <c r="A362" t="str">
        <f>T("   851769")</f>
        <v xml:space="preserve">   851769</v>
      </c>
      <c r="B362" t="s">
        <v>481</v>
      </c>
      <c r="C362">
        <v>325425</v>
      </c>
      <c r="D362">
        <v>3.1</v>
      </c>
    </row>
    <row r="363" spans="1:4" x14ac:dyDescent="0.25">
      <c r="A363" t="str">
        <f>T("   852090")</f>
        <v xml:space="preserve">   852090</v>
      </c>
      <c r="B36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363">
        <v>377833</v>
      </c>
      <c r="D363">
        <v>1000</v>
      </c>
    </row>
    <row r="364" spans="1:4" x14ac:dyDescent="0.25">
      <c r="A364" t="str">
        <f>T("   853650")</f>
        <v xml:space="preserve">   853650</v>
      </c>
      <c r="B364" t="str">
        <f>T("   Interrupteurs, sectionneurs et commutateurs, pour une tension &lt;= 1.000 V (autres que relais et disjoncteurs)")</f>
        <v xml:space="preserve">   Interrupteurs, sectionneurs et commutateurs, pour une tension &lt;= 1.000 V (autres que relais et disjoncteurs)</v>
      </c>
      <c r="C364">
        <v>17877902</v>
      </c>
      <c r="D364">
        <v>30</v>
      </c>
    </row>
    <row r="365" spans="1:4" x14ac:dyDescent="0.25">
      <c r="A365" t="str">
        <f>T("   853670")</f>
        <v xml:space="preserve">   853670</v>
      </c>
      <c r="B365" t="str">
        <f>T("   CONNECTEURS POUR FIBRES OPTIQUES, FAISCEAUX OU CÂBLES DE FIBRES OPTIQUES")</f>
        <v xml:space="preserve">   CONNECTEURS POUR FIBRES OPTIQUES, FAISCEAUX OU CÂBLES DE FIBRES OPTIQUES</v>
      </c>
      <c r="C365">
        <v>20183170</v>
      </c>
      <c r="D365">
        <v>153</v>
      </c>
    </row>
    <row r="366" spans="1:4" x14ac:dyDescent="0.25">
      <c r="A366" t="str">
        <f>T("   853690")</f>
        <v xml:space="preserve">   853690</v>
      </c>
      <c r="B366" t="s">
        <v>499</v>
      </c>
      <c r="C366">
        <v>76824979</v>
      </c>
      <c r="D366">
        <v>13161</v>
      </c>
    </row>
    <row r="367" spans="1:4" x14ac:dyDescent="0.25">
      <c r="A367" t="str">
        <f>T("   901180")</f>
        <v xml:space="preserve">   901180</v>
      </c>
      <c r="B367" t="s">
        <v>525</v>
      </c>
      <c r="C367">
        <v>1112070</v>
      </c>
      <c r="D367">
        <v>80</v>
      </c>
    </row>
    <row r="368" spans="1:4" x14ac:dyDescent="0.25">
      <c r="A368" t="str">
        <f>T("   950430")</f>
        <v xml:space="preserve">   950430</v>
      </c>
      <c r="B368" t="s">
        <v>538</v>
      </c>
      <c r="C368">
        <v>249465</v>
      </c>
      <c r="D368">
        <v>1</v>
      </c>
    </row>
    <row r="369" spans="1:4" x14ac:dyDescent="0.25">
      <c r="A369" t="str">
        <f>T("AW")</f>
        <v>AW</v>
      </c>
      <c r="B369" t="str">
        <f>T("Aruba")</f>
        <v>Aruba</v>
      </c>
    </row>
    <row r="370" spans="1:4" x14ac:dyDescent="0.25">
      <c r="A370" t="str">
        <f>T("   ZZ_Total_Produit_SH6")</f>
        <v xml:space="preserve">   ZZ_Total_Produit_SH6</v>
      </c>
      <c r="B370" t="str">
        <f>T("   ZZ_Total_Produit_SH6")</f>
        <v xml:space="preserve">   ZZ_Total_Produit_SH6</v>
      </c>
      <c r="C370">
        <v>1517611</v>
      </c>
      <c r="D370">
        <v>748</v>
      </c>
    </row>
    <row r="371" spans="1:4" x14ac:dyDescent="0.25">
      <c r="A371" t="str">
        <f>T("   491110")</f>
        <v xml:space="preserve">   491110</v>
      </c>
      <c r="B371" t="str">
        <f>T("   Imprimés publicitaires, catalogues commerciaux et simil.")</f>
        <v xml:space="preserve">   Imprimés publicitaires, catalogues commerciaux et simil.</v>
      </c>
      <c r="C371">
        <v>1417611</v>
      </c>
      <c r="D371">
        <v>683</v>
      </c>
    </row>
    <row r="372" spans="1:4" x14ac:dyDescent="0.25">
      <c r="A372" t="str">
        <f>T("   940320")</f>
        <v xml:space="preserve">   940320</v>
      </c>
      <c r="B37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72">
        <v>100000</v>
      </c>
      <c r="D372">
        <v>65</v>
      </c>
    </row>
    <row r="373" spans="1:4" x14ac:dyDescent="0.25">
      <c r="A373" t="str">
        <f>T("BA")</f>
        <v>BA</v>
      </c>
      <c r="B373" t="str">
        <f>T("Bosnie Herzégovine")</f>
        <v>Bosnie Herzégovine</v>
      </c>
    </row>
    <row r="374" spans="1:4" x14ac:dyDescent="0.25">
      <c r="A374" t="str">
        <f>T("   ZZ_Total_Produit_SH6")</f>
        <v xml:space="preserve">   ZZ_Total_Produit_SH6</v>
      </c>
      <c r="B374" t="str">
        <f>T("   ZZ_Total_Produit_SH6")</f>
        <v xml:space="preserve">   ZZ_Total_Produit_SH6</v>
      </c>
      <c r="C374">
        <v>404387</v>
      </c>
      <c r="D374">
        <v>115</v>
      </c>
    </row>
    <row r="375" spans="1:4" x14ac:dyDescent="0.25">
      <c r="A375" t="str">
        <f>T("   300230")</f>
        <v xml:space="preserve">   300230</v>
      </c>
      <c r="B375" t="str">
        <f>T("   Vaccins pour la médecine vétérinaire")</f>
        <v xml:space="preserve">   Vaccins pour la médecine vétérinaire</v>
      </c>
      <c r="C375">
        <v>100000</v>
      </c>
      <c r="D375">
        <v>6</v>
      </c>
    </row>
    <row r="376" spans="1:4" x14ac:dyDescent="0.25">
      <c r="A376" t="str">
        <f>T("   851790")</f>
        <v xml:space="preserve">   851790</v>
      </c>
      <c r="B376" t="s">
        <v>483</v>
      </c>
      <c r="C376">
        <v>304387</v>
      </c>
      <c r="D376">
        <v>109</v>
      </c>
    </row>
    <row r="377" spans="1:4" x14ac:dyDescent="0.25">
      <c r="A377" t="str">
        <f>T("BD")</f>
        <v>BD</v>
      </c>
      <c r="B377" t="str">
        <f>T("Bangladesh")</f>
        <v>Bangladesh</v>
      </c>
    </row>
    <row r="378" spans="1:4" x14ac:dyDescent="0.25">
      <c r="A378" t="str">
        <f>T("   ZZ_Total_Produit_SH6")</f>
        <v xml:space="preserve">   ZZ_Total_Produit_SH6</v>
      </c>
      <c r="B378" t="str">
        <f>T("   ZZ_Total_Produit_SH6")</f>
        <v xml:space="preserve">   ZZ_Total_Produit_SH6</v>
      </c>
      <c r="C378">
        <v>99928782</v>
      </c>
      <c r="D378">
        <v>290381</v>
      </c>
    </row>
    <row r="379" spans="1:4" x14ac:dyDescent="0.25">
      <c r="A379" t="str">
        <f>T("   200980")</f>
        <v xml:space="preserve">   200980</v>
      </c>
      <c r="B37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79">
        <v>30334278</v>
      </c>
      <c r="D379">
        <v>174858</v>
      </c>
    </row>
    <row r="380" spans="1:4" x14ac:dyDescent="0.25">
      <c r="A380" t="str">
        <f>T("   392321")</f>
        <v xml:space="preserve">   392321</v>
      </c>
      <c r="B380" t="str">
        <f>T("   Sacs, sachets, pochettes et cornets, en polymères de l'éthylène")</f>
        <v xml:space="preserve">   Sacs, sachets, pochettes et cornets, en polymères de l'éthylène</v>
      </c>
      <c r="C380">
        <v>3551034</v>
      </c>
      <c r="D380">
        <v>3069</v>
      </c>
    </row>
    <row r="381" spans="1:4" x14ac:dyDescent="0.25">
      <c r="A381" t="str">
        <f>T("   610910")</f>
        <v xml:space="preserve">   610910</v>
      </c>
      <c r="B381" t="str">
        <f>T("   T-shirts et maillots de corps, en bonneterie, de coton,")</f>
        <v xml:space="preserve">   T-shirts et maillots de corps, en bonneterie, de coton,</v>
      </c>
      <c r="C381">
        <v>6554000</v>
      </c>
      <c r="D381">
        <v>14774</v>
      </c>
    </row>
    <row r="382" spans="1:4" x14ac:dyDescent="0.25">
      <c r="A382" t="str">
        <f>T("   620342")</f>
        <v xml:space="preserve">   620342</v>
      </c>
      <c r="B382"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382">
        <v>6554000</v>
      </c>
      <c r="D382">
        <v>9075</v>
      </c>
    </row>
    <row r="383" spans="1:4" x14ac:dyDescent="0.25">
      <c r="A383" t="str">
        <f>T("   630510")</f>
        <v xml:space="preserve">   630510</v>
      </c>
      <c r="B383" t="str">
        <f>T("   Sacs et sachets d'emballage de jute ou d'autres fibres textiles libériennes du n° 5303")</f>
        <v xml:space="preserve">   Sacs et sachets d'emballage de jute ou d'autres fibres textiles libériennes du n° 5303</v>
      </c>
      <c r="C383">
        <v>52910470</v>
      </c>
      <c r="D383">
        <v>88596</v>
      </c>
    </row>
    <row r="384" spans="1:4" x14ac:dyDescent="0.25">
      <c r="A384" t="str">
        <f>T("   960810")</f>
        <v xml:space="preserve">   960810</v>
      </c>
      <c r="B384" t="str">
        <f>T("   Stylos et crayons à bille")</f>
        <v xml:space="preserve">   Stylos et crayons à bille</v>
      </c>
      <c r="C384">
        <v>25000</v>
      </c>
      <c r="D384">
        <v>9</v>
      </c>
    </row>
    <row r="385" spans="1:4" x14ac:dyDescent="0.25">
      <c r="A385" t="str">
        <f>T("BE")</f>
        <v>BE</v>
      </c>
      <c r="B385" t="str">
        <f>T("Belgique")</f>
        <v>Belgique</v>
      </c>
    </row>
    <row r="386" spans="1:4" x14ac:dyDescent="0.25">
      <c r="A386" t="str">
        <f>T("   ZZ_Total_Produit_SH6")</f>
        <v xml:space="preserve">   ZZ_Total_Produit_SH6</v>
      </c>
      <c r="B386" t="str">
        <f>T("   ZZ_Total_Produit_SH6")</f>
        <v xml:space="preserve">   ZZ_Total_Produit_SH6</v>
      </c>
      <c r="C386">
        <v>51567330410.224998</v>
      </c>
      <c r="D386">
        <v>91057211.730000004</v>
      </c>
    </row>
    <row r="387" spans="1:4" x14ac:dyDescent="0.25">
      <c r="A387" t="str">
        <f>T("   010511")</f>
        <v xml:space="preserve">   010511</v>
      </c>
      <c r="B387" t="str">
        <f>T("   Coqs et poules [des espèces domestiques], vivants, d'un poids &lt;= 185 g")</f>
        <v xml:space="preserve">   Coqs et poules [des espèces domestiques], vivants, d'un poids &lt;= 185 g</v>
      </c>
      <c r="C387">
        <v>15874232</v>
      </c>
      <c r="D387">
        <v>2600</v>
      </c>
    </row>
    <row r="388" spans="1:4" x14ac:dyDescent="0.25">
      <c r="A388" t="str">
        <f>T("   010599")</f>
        <v xml:space="preserve">   010599</v>
      </c>
      <c r="B388" t="str">
        <f>T("   Canards, oies, dindons, dindes et pintades [des espèces domestiques], vivants, d'un poids &gt; 185 g")</f>
        <v xml:space="preserve">   Canards, oies, dindons, dindes et pintades [des espèces domestiques], vivants, d'un poids &gt; 185 g</v>
      </c>
      <c r="C388">
        <v>1272099</v>
      </c>
      <c r="D388">
        <v>1835</v>
      </c>
    </row>
    <row r="389" spans="1:4" x14ac:dyDescent="0.25">
      <c r="A389" t="str">
        <f>T("   020629")</f>
        <v xml:space="preserve">   020629</v>
      </c>
      <c r="B389" t="str">
        <f>T("   Abats comestibles de bovins, congelés (à l'excl. des langues et des foies)")</f>
        <v xml:space="preserve">   Abats comestibles de bovins, congelés (à l'excl. des langues et des foies)</v>
      </c>
      <c r="C389">
        <v>94060760</v>
      </c>
      <c r="D389">
        <v>151223</v>
      </c>
    </row>
    <row r="390" spans="1:4" x14ac:dyDescent="0.25">
      <c r="A390" t="str">
        <f>T("   020711")</f>
        <v xml:space="preserve">   020711</v>
      </c>
      <c r="B390" t="str">
        <f>T("   COQS ET POULES [DES ESPÈCES DOMESTIQUES], NON-DÉCOUPÉS EN MORCEAUX, FRAIS OU RÉFRIGÉRÉS")</f>
        <v xml:space="preserve">   COQS ET POULES [DES ESPÈCES DOMESTIQUES], NON-DÉCOUPÉS EN MORCEAUX, FRAIS OU RÉFRIGÉRÉS</v>
      </c>
      <c r="C390">
        <v>15550188</v>
      </c>
      <c r="D390">
        <v>25000</v>
      </c>
    </row>
    <row r="391" spans="1:4" x14ac:dyDescent="0.25">
      <c r="A391" t="str">
        <f>T("   020712")</f>
        <v xml:space="preserve">   020712</v>
      </c>
      <c r="B391" t="str">
        <f>T("   COQS ET POULES [DES ESPÈCES DOMESTIQUES], NON-DÉCOUPÉS EN MORCEAUX, CONGELÉS")</f>
        <v xml:space="preserve">   COQS ET POULES [DES ESPÈCES DOMESTIQUES], NON-DÉCOUPÉS EN MORCEAUX, CONGELÉS</v>
      </c>
      <c r="C391">
        <v>523885195</v>
      </c>
      <c r="D391">
        <v>847161</v>
      </c>
    </row>
    <row r="392" spans="1:4" x14ac:dyDescent="0.25">
      <c r="A392" t="str">
        <f>T("   020713")</f>
        <v xml:space="preserve">   020713</v>
      </c>
      <c r="B392" t="str">
        <f>T("   Morceaux et abats comestibles de coqs et de poules [des espèces domestiques], frais ou réfrigérés")</f>
        <v xml:space="preserve">   Morceaux et abats comestibles de coqs et de poules [des espèces domestiques], frais ou réfrigérés</v>
      </c>
      <c r="C392">
        <v>15550188</v>
      </c>
      <c r="D392">
        <v>27000</v>
      </c>
    </row>
    <row r="393" spans="1:4" x14ac:dyDescent="0.25">
      <c r="A393" t="str">
        <f>T("   020714")</f>
        <v xml:space="preserve">   020714</v>
      </c>
      <c r="B393" t="str">
        <f>T("   Morceaux et abats comestibles de coqs et de poules [des espèces domestiques], congelés")</f>
        <v xml:space="preserve">   Morceaux et abats comestibles de coqs et de poules [des espèces domestiques], congelés</v>
      </c>
      <c r="C393">
        <v>1942093119</v>
      </c>
      <c r="D393">
        <v>3165440</v>
      </c>
    </row>
    <row r="394" spans="1:4" x14ac:dyDescent="0.25">
      <c r="A394" t="str">
        <f>T("   020726")</f>
        <v xml:space="preserve">   020726</v>
      </c>
      <c r="B394" t="str">
        <f>T("   Morceaux et abats comestibles de dindes et dindons [des espèces domestiques], frais ou réfrigérés")</f>
        <v xml:space="preserve">   Morceaux et abats comestibles de dindes et dindons [des espèces domestiques], frais ou réfrigérés</v>
      </c>
      <c r="C394">
        <v>47894000</v>
      </c>
      <c r="D394">
        <v>77000</v>
      </c>
    </row>
    <row r="395" spans="1:4" x14ac:dyDescent="0.25">
      <c r="A395" t="str">
        <f>T("   020727")</f>
        <v xml:space="preserve">   020727</v>
      </c>
      <c r="B395" t="str">
        <f>T("   Morceaux et abats comestibles de dindes et dindons [des espèces domestiques], congelés")</f>
        <v xml:space="preserve">   Morceaux et abats comestibles de dindes et dindons [des espèces domestiques], congelés</v>
      </c>
      <c r="C395">
        <v>1383378979</v>
      </c>
      <c r="D395">
        <v>2255818</v>
      </c>
    </row>
    <row r="396" spans="1:4" x14ac:dyDescent="0.25">
      <c r="A396" t="str">
        <f>T("   030378")</f>
        <v xml:space="preserve">   030378</v>
      </c>
      <c r="B396" t="str">
        <f>T("   Merlus [Merluccius spp., Urophycis spp.], congelés")</f>
        <v xml:space="preserve">   Merlus [Merluccius spp., Urophycis spp.], congelés</v>
      </c>
      <c r="C396">
        <v>6269010</v>
      </c>
      <c r="D396">
        <v>27860</v>
      </c>
    </row>
    <row r="397" spans="1:4" x14ac:dyDescent="0.25">
      <c r="A397" t="str">
        <f>T("   030379")</f>
        <v xml:space="preserve">   030379</v>
      </c>
      <c r="B397" t="s">
        <v>16</v>
      </c>
      <c r="C397">
        <v>379935334</v>
      </c>
      <c r="D397">
        <v>1688600</v>
      </c>
    </row>
    <row r="398" spans="1:4" x14ac:dyDescent="0.25">
      <c r="A398" t="str">
        <f>T("   040110")</f>
        <v xml:space="preserve">   040110</v>
      </c>
      <c r="B398"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98">
        <v>1742000</v>
      </c>
      <c r="D398">
        <v>5780</v>
      </c>
    </row>
    <row r="399" spans="1:4" x14ac:dyDescent="0.25">
      <c r="A399" t="str">
        <f>T("   040120")</f>
        <v xml:space="preserve">   040120</v>
      </c>
      <c r="B399"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399">
        <v>15080053</v>
      </c>
      <c r="D399">
        <v>40643</v>
      </c>
    </row>
    <row r="400" spans="1:4" x14ac:dyDescent="0.25">
      <c r="A400" t="str">
        <f>T("   040210")</f>
        <v xml:space="preserve">   040210</v>
      </c>
      <c r="B40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400">
        <v>52478112</v>
      </c>
      <c r="D400">
        <v>25400</v>
      </c>
    </row>
    <row r="401" spans="1:4" x14ac:dyDescent="0.25">
      <c r="A401" t="str">
        <f>T("   040221")</f>
        <v xml:space="preserve">   040221</v>
      </c>
      <c r="B40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401">
        <v>996620352</v>
      </c>
      <c r="D401">
        <v>451215</v>
      </c>
    </row>
    <row r="402" spans="1:4" x14ac:dyDescent="0.25">
      <c r="A402" t="str">
        <f>T("   050400")</f>
        <v xml:space="preserve">   050400</v>
      </c>
      <c r="B40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402">
        <v>254803184</v>
      </c>
      <c r="D402">
        <v>212335</v>
      </c>
    </row>
    <row r="403" spans="1:4" x14ac:dyDescent="0.25">
      <c r="A403" t="str">
        <f>T("   070110")</f>
        <v xml:space="preserve">   070110</v>
      </c>
      <c r="B403" t="str">
        <f>T("   Pommes de terre de semence")</f>
        <v xml:space="preserve">   Pommes de terre de semence</v>
      </c>
      <c r="C403">
        <v>3114426</v>
      </c>
      <c r="D403">
        <v>18875</v>
      </c>
    </row>
    <row r="404" spans="1:4" x14ac:dyDescent="0.25">
      <c r="A404" t="str">
        <f>T("   070190")</f>
        <v xml:space="preserve">   070190</v>
      </c>
      <c r="B404" t="str">
        <f>T("   Pommes de terre, à l'état frais ou réfrigéré (à l'excl. des pommes de terre de semence)")</f>
        <v xml:space="preserve">   Pommes de terre, à l'état frais ou réfrigéré (à l'excl. des pommes de terre de semence)</v>
      </c>
      <c r="C404">
        <v>36049245</v>
      </c>
      <c r="D404">
        <v>114951</v>
      </c>
    </row>
    <row r="405" spans="1:4" x14ac:dyDescent="0.25">
      <c r="A405" t="str">
        <f>T("   071010")</f>
        <v xml:space="preserve">   071010</v>
      </c>
      <c r="B405" t="str">
        <f>T("   Pommes de terre, non cuites ou cuites à l'eau ou à la vapeur, congelées")</f>
        <v xml:space="preserve">   Pommes de terre, non cuites ou cuites à l'eau ou à la vapeur, congelées</v>
      </c>
      <c r="C405">
        <v>19618510</v>
      </c>
      <c r="D405">
        <v>77380</v>
      </c>
    </row>
    <row r="406" spans="1:4" x14ac:dyDescent="0.25">
      <c r="A406" t="str">
        <f>T("   110100")</f>
        <v xml:space="preserve">   110100</v>
      </c>
      <c r="B406" t="str">
        <f>T("   Farines de froment [blé] ou de méteil")</f>
        <v xml:space="preserve">   Farines de froment [blé] ou de méteil</v>
      </c>
      <c r="C406">
        <v>17816743.076000001</v>
      </c>
      <c r="D406">
        <v>66132</v>
      </c>
    </row>
    <row r="407" spans="1:4" x14ac:dyDescent="0.25">
      <c r="A407" t="str">
        <f>T("   110429")</f>
        <v xml:space="preserve">   110429</v>
      </c>
      <c r="B407" t="str">
        <f>T("   Grains de céréales, mondés, perlés, tranchés, concassés ou autrement travaillés (à l'excl. des grains d'avoine et de maïs, des farines de grains de céréales ainsi que du riz décortiqué, du riz semi-blanchi ou blanchi et du riz en brisures)")</f>
        <v xml:space="preserve">   Grains de céréales, mondés, perlés, tranchés, concassés ou autrement travaillés (à l'excl. des grains d'avoine et de maïs, des farines de grains de céréales ainsi que du riz décortiqué, du riz semi-blanchi ou blanchi et du riz en brisures)</v>
      </c>
      <c r="C407">
        <v>3668515</v>
      </c>
      <c r="D407">
        <v>2476</v>
      </c>
    </row>
    <row r="408" spans="1:4" x14ac:dyDescent="0.25">
      <c r="A408" t="str">
        <f>T("   110710")</f>
        <v xml:space="preserve">   110710</v>
      </c>
      <c r="B408" t="str">
        <f>T("   MALT, NON-TORRÉFIÉ")</f>
        <v xml:space="preserve">   MALT, NON-TORRÉFIÉ</v>
      </c>
      <c r="C408">
        <v>3371749645</v>
      </c>
      <c r="D408">
        <v>7854246</v>
      </c>
    </row>
    <row r="409" spans="1:4" x14ac:dyDescent="0.25">
      <c r="A409" t="str">
        <f>T("   120999")</f>
        <v xml:space="preserve">   120999</v>
      </c>
      <c r="B409" t="s">
        <v>32</v>
      </c>
      <c r="C409">
        <v>5000</v>
      </c>
      <c r="D409">
        <v>9</v>
      </c>
    </row>
    <row r="410" spans="1:4" x14ac:dyDescent="0.25">
      <c r="A410" t="str">
        <f>T("   151511")</f>
        <v xml:space="preserve">   151511</v>
      </c>
      <c r="B410" t="str">
        <f>T("   Huile de lin, brute")</f>
        <v xml:space="preserve">   Huile de lin, brute</v>
      </c>
      <c r="C410">
        <v>36750</v>
      </c>
      <c r="D410">
        <v>147</v>
      </c>
    </row>
    <row r="411" spans="1:4" x14ac:dyDescent="0.25">
      <c r="A411" t="str">
        <f>T("   160100")</f>
        <v xml:space="preserve">   160100</v>
      </c>
      <c r="B411" t="str">
        <f>T("   Saucisses, saucissons et produits simil., de viande, d'abats ou de sang; préparations alimentaires à base de ces produits")</f>
        <v xml:space="preserve">   Saucisses, saucissons et produits simil., de viande, d'abats ou de sang; préparations alimentaires à base de ces produits</v>
      </c>
      <c r="C411">
        <v>2250599</v>
      </c>
      <c r="D411">
        <v>3000</v>
      </c>
    </row>
    <row r="412" spans="1:4" x14ac:dyDescent="0.25">
      <c r="A412" t="str">
        <f>T("   160413")</f>
        <v xml:space="preserve">   160413</v>
      </c>
      <c r="B412"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412">
        <v>10789296</v>
      </c>
      <c r="D412">
        <v>4382</v>
      </c>
    </row>
    <row r="413" spans="1:4" x14ac:dyDescent="0.25">
      <c r="A413" t="str">
        <f>T("   170199")</f>
        <v xml:space="preserve">   170199</v>
      </c>
      <c r="B41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413">
        <v>51534114.148999996</v>
      </c>
      <c r="D413">
        <v>230000</v>
      </c>
    </row>
    <row r="414" spans="1:4" x14ac:dyDescent="0.25">
      <c r="A414" t="str">
        <f>T("   170490")</f>
        <v xml:space="preserve">   170490</v>
      </c>
      <c r="B414" t="str">
        <f>T("   Sucreries sans cacao, y.c. le chocolat blanc (à l'excl. des gommes à mâcher)")</f>
        <v xml:space="preserve">   Sucreries sans cacao, y.c. le chocolat blanc (à l'excl. des gommes à mâcher)</v>
      </c>
      <c r="C414">
        <v>23332000</v>
      </c>
      <c r="D414">
        <v>106559</v>
      </c>
    </row>
    <row r="415" spans="1:4" x14ac:dyDescent="0.25">
      <c r="A415" t="str">
        <f>T("   190110")</f>
        <v xml:space="preserve">   190110</v>
      </c>
      <c r="B415" t="s">
        <v>48</v>
      </c>
      <c r="C415">
        <v>271568</v>
      </c>
      <c r="D415">
        <v>680</v>
      </c>
    </row>
    <row r="416" spans="1:4" x14ac:dyDescent="0.25">
      <c r="A416" t="str">
        <f>T("   190190")</f>
        <v xml:space="preserve">   190190</v>
      </c>
      <c r="B416" t="s">
        <v>50</v>
      </c>
      <c r="C416">
        <v>3782265</v>
      </c>
      <c r="D416">
        <v>3181</v>
      </c>
    </row>
    <row r="417" spans="1:4" x14ac:dyDescent="0.25">
      <c r="A417" t="str">
        <f>T("   190531")</f>
        <v xml:space="preserve">   190531</v>
      </c>
      <c r="B417" t="str">
        <f>T("   Biscuits additionnés d'édulcorants")</f>
        <v xml:space="preserve">   Biscuits additionnés d'édulcorants</v>
      </c>
      <c r="C417">
        <v>10952564</v>
      </c>
      <c r="D417">
        <v>32000</v>
      </c>
    </row>
    <row r="418" spans="1:4" x14ac:dyDescent="0.25">
      <c r="A418" t="str">
        <f>T("   200410")</f>
        <v xml:space="preserve">   200410</v>
      </c>
      <c r="B418" t="str">
        <f>T("   Pommes de terre, préparées ou conservées autrement qu'au vinaigre ou à l'acide acétique, congelées")</f>
        <v xml:space="preserve">   Pommes de terre, préparées ou conservées autrement qu'au vinaigre ou à l'acide acétique, congelées</v>
      </c>
      <c r="C418">
        <v>23536501</v>
      </c>
      <c r="D418">
        <v>95760</v>
      </c>
    </row>
    <row r="419" spans="1:4" x14ac:dyDescent="0.25">
      <c r="A419" t="str">
        <f>T("   200520")</f>
        <v xml:space="preserve">   200520</v>
      </c>
      <c r="B419" t="str">
        <f>T("   POMMES DE TERRE, PRÉPARÉES OU CONSERVÉES AUTREMENT QU'AU VINAIGRE OU À L'ACIDE ACÉTIQUE, NON-CONGELÉES")</f>
        <v xml:space="preserve">   POMMES DE TERRE, PRÉPARÉES OU CONSERVÉES AUTREMENT QU'AU VINAIGRE OU À L'ACIDE ACÉTIQUE, NON-CONGELÉES</v>
      </c>
      <c r="C419">
        <v>5003007</v>
      </c>
      <c r="D419">
        <v>25200</v>
      </c>
    </row>
    <row r="420" spans="1:4" x14ac:dyDescent="0.25">
      <c r="A420" t="str">
        <f>T("   200551")</f>
        <v xml:space="preserve">   200551</v>
      </c>
      <c r="B420"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420">
        <v>8618980</v>
      </c>
      <c r="D420">
        <v>11272</v>
      </c>
    </row>
    <row r="421" spans="1:4" x14ac:dyDescent="0.25">
      <c r="A421" t="str">
        <f>T("   200980")</f>
        <v xml:space="preserve">   200980</v>
      </c>
      <c r="B42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21">
        <v>11177252</v>
      </c>
      <c r="D421">
        <v>101882.44</v>
      </c>
    </row>
    <row r="422" spans="1:4" x14ac:dyDescent="0.25">
      <c r="A422" t="str">
        <f>T("   200990")</f>
        <v xml:space="preserve">   200990</v>
      </c>
      <c r="B42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22">
        <v>20489171</v>
      </c>
      <c r="D422">
        <v>107506</v>
      </c>
    </row>
    <row r="423" spans="1:4" x14ac:dyDescent="0.25">
      <c r="A423" t="str">
        <f>T("   210410")</f>
        <v xml:space="preserve">   210410</v>
      </c>
      <c r="B423" t="str">
        <f>T("   Préparations pour soupes, potages ou bouillons; soupes, potages ou bouillons préparés")</f>
        <v xml:space="preserve">   Préparations pour soupes, potages ou bouillons; soupes, potages ou bouillons préparés</v>
      </c>
      <c r="C423">
        <v>426315</v>
      </c>
      <c r="D423">
        <v>591</v>
      </c>
    </row>
    <row r="424" spans="1:4" x14ac:dyDescent="0.25">
      <c r="A424" t="str">
        <f>T("   210500")</f>
        <v xml:space="preserve">   210500</v>
      </c>
      <c r="B424" t="str">
        <f>T("   Glaces de consommation, même contenant du cacao")</f>
        <v xml:space="preserve">   Glaces de consommation, même contenant du cacao</v>
      </c>
      <c r="C424">
        <v>5640914</v>
      </c>
      <c r="D424">
        <v>5557</v>
      </c>
    </row>
    <row r="425" spans="1:4" x14ac:dyDescent="0.25">
      <c r="A425" t="str">
        <f>T("   210690")</f>
        <v xml:space="preserve">   210690</v>
      </c>
      <c r="B425" t="str">
        <f>T("   Préparations alimentaires, n.d.a.")</f>
        <v xml:space="preserve">   Préparations alimentaires, n.d.a.</v>
      </c>
      <c r="C425">
        <v>302116893</v>
      </c>
      <c r="D425">
        <v>88139</v>
      </c>
    </row>
    <row r="426" spans="1:4" x14ac:dyDescent="0.25">
      <c r="A426" t="str">
        <f>T("   220210")</f>
        <v xml:space="preserve">   220210</v>
      </c>
      <c r="B42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26">
        <v>36455713</v>
      </c>
      <c r="D426">
        <v>103615</v>
      </c>
    </row>
    <row r="427" spans="1:4" x14ac:dyDescent="0.25">
      <c r="A427" t="str">
        <f>T("   220290")</f>
        <v xml:space="preserve">   220290</v>
      </c>
      <c r="B427" t="str">
        <f>T("   BOISSONS NON-ALCOOLIQUES (À L'EXCL. DES EAUX, DES JUS DE FRUITS OU DE LÉGUMES AINSI QUE DU LAIT)")</f>
        <v xml:space="preserve">   BOISSONS NON-ALCOOLIQUES (À L'EXCL. DES EAUX, DES JUS DE FRUITS OU DE LÉGUMES AINSI QUE DU LAIT)</v>
      </c>
      <c r="C427">
        <v>626732022</v>
      </c>
      <c r="D427">
        <v>1832409</v>
      </c>
    </row>
    <row r="428" spans="1:4" x14ac:dyDescent="0.25">
      <c r="A428" t="str">
        <f>T("   220300")</f>
        <v xml:space="preserve">   220300</v>
      </c>
      <c r="B428" t="str">
        <f>T("   Bières de malt")</f>
        <v xml:space="preserve">   Bières de malt</v>
      </c>
      <c r="C428">
        <v>7421670</v>
      </c>
      <c r="D428">
        <v>39287</v>
      </c>
    </row>
    <row r="429" spans="1:4" x14ac:dyDescent="0.25">
      <c r="A429" t="str">
        <f>T("   220410")</f>
        <v xml:space="preserve">   220410</v>
      </c>
      <c r="B429" t="str">
        <f>T("   Vins mousseux produits à partir de raisins frais")</f>
        <v xml:space="preserve">   Vins mousseux produits à partir de raisins frais</v>
      </c>
      <c r="C429">
        <v>284687</v>
      </c>
      <c r="D429">
        <v>43</v>
      </c>
    </row>
    <row r="430" spans="1:4" x14ac:dyDescent="0.25">
      <c r="A430" t="str">
        <f>T("   220421")</f>
        <v xml:space="preserve">   220421</v>
      </c>
      <c r="B430"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430">
        <v>16815367</v>
      </c>
      <c r="D430">
        <v>42058</v>
      </c>
    </row>
    <row r="431" spans="1:4" x14ac:dyDescent="0.25">
      <c r="A431" t="str">
        <f>T("   220600")</f>
        <v xml:space="preserve">   220600</v>
      </c>
      <c r="B431" t="s">
        <v>60</v>
      </c>
      <c r="C431">
        <v>10038883</v>
      </c>
      <c r="D431">
        <v>48339.56</v>
      </c>
    </row>
    <row r="432" spans="1:4" x14ac:dyDescent="0.25">
      <c r="A432" t="str">
        <f>T("   220830")</f>
        <v xml:space="preserve">   220830</v>
      </c>
      <c r="B432" t="str">
        <f>T("   Whiskies")</f>
        <v xml:space="preserve">   Whiskies</v>
      </c>
      <c r="C432">
        <v>2097104</v>
      </c>
      <c r="D432">
        <v>2744</v>
      </c>
    </row>
    <row r="433" spans="1:4" x14ac:dyDescent="0.25">
      <c r="A433" t="str">
        <f>T("   220840")</f>
        <v xml:space="preserve">   220840</v>
      </c>
      <c r="B433" t="str">
        <f>T("   RHUM ET AUTRES EAUX-DE-VIE PROVENANT DE LA DISTILLATION, APRÈS FERMENTATION, DE PRODUITS DE CANNES À SUCRE")</f>
        <v xml:space="preserve">   RHUM ET AUTRES EAUX-DE-VIE PROVENANT DE LA DISTILLATION, APRÈS FERMENTATION, DE PRODUITS DE CANNES À SUCRE</v>
      </c>
      <c r="C433">
        <v>8010131</v>
      </c>
      <c r="D433">
        <v>12614</v>
      </c>
    </row>
    <row r="434" spans="1:4" x14ac:dyDescent="0.25">
      <c r="A434" t="str">
        <f>T("   220850")</f>
        <v xml:space="preserve">   220850</v>
      </c>
      <c r="B434" t="str">
        <f>T("   Gin et genièvre")</f>
        <v xml:space="preserve">   Gin et genièvre</v>
      </c>
      <c r="C434">
        <v>49855500</v>
      </c>
      <c r="D434">
        <v>170072</v>
      </c>
    </row>
    <row r="435" spans="1:4" x14ac:dyDescent="0.25">
      <c r="A435" t="str">
        <f>T("   220870")</f>
        <v xml:space="preserve">   220870</v>
      </c>
      <c r="B435" t="str">
        <f>T("   LIQUEURS")</f>
        <v xml:space="preserve">   LIQUEURS</v>
      </c>
      <c r="C435">
        <v>23594789</v>
      </c>
      <c r="D435">
        <v>36926</v>
      </c>
    </row>
    <row r="436" spans="1:4" x14ac:dyDescent="0.25">
      <c r="A436" t="str">
        <f>T("   220890")</f>
        <v xml:space="preserve">   220890</v>
      </c>
      <c r="B436" t="s">
        <v>61</v>
      </c>
      <c r="C436">
        <v>41239234</v>
      </c>
      <c r="D436">
        <v>241508</v>
      </c>
    </row>
    <row r="437" spans="1:4" x14ac:dyDescent="0.25">
      <c r="A437" t="str">
        <f>T("   230990")</f>
        <v xml:space="preserve">   230990</v>
      </c>
      <c r="B437"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437">
        <v>596686420</v>
      </c>
      <c r="D437">
        <v>1283891</v>
      </c>
    </row>
    <row r="438" spans="1:4" x14ac:dyDescent="0.25">
      <c r="A438" t="str">
        <f>T("   251200")</f>
        <v xml:space="preserve">   251200</v>
      </c>
      <c r="B438"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438">
        <v>2160733</v>
      </c>
      <c r="D438">
        <v>5540</v>
      </c>
    </row>
    <row r="439" spans="1:4" x14ac:dyDescent="0.25">
      <c r="A439" t="str">
        <f>T("   251820")</f>
        <v xml:space="preserve">   251820</v>
      </c>
      <c r="B439" t="str">
        <f>T("   Dolomie, calcinée ou frittée (à l'excl. de la dolomie concassée des types généralement utilisés pour le bétonnage ou pour l'empierrement des routes, des voies ferrées ou autres ballasts)")</f>
        <v xml:space="preserve">   Dolomie, calcinée ou frittée (à l'excl. de la dolomie concassée des types généralement utilisés pour le bétonnage ou pour l'empierrement des routes, des voies ferrées ou autres ballasts)</v>
      </c>
      <c r="C439">
        <v>6034832</v>
      </c>
      <c r="D439">
        <v>41080</v>
      </c>
    </row>
    <row r="440" spans="1:4" x14ac:dyDescent="0.25">
      <c r="A440" t="str">
        <f>T("   252310")</f>
        <v xml:space="preserve">   252310</v>
      </c>
      <c r="B440" t="str">
        <f>T("   Ciments non pulvérisés dits 'clinkers'")</f>
        <v xml:space="preserve">   Ciments non pulvérisés dits 'clinkers'</v>
      </c>
      <c r="C440">
        <v>525000000</v>
      </c>
      <c r="D440">
        <v>15000000</v>
      </c>
    </row>
    <row r="441" spans="1:4" x14ac:dyDescent="0.25">
      <c r="A441" t="str">
        <f>T("   252390")</f>
        <v xml:space="preserve">   252390</v>
      </c>
      <c r="B441" t="str">
        <f>T("   Ciments, même colorés (à l'excl. des ciments Portland et des ciments alumineux)")</f>
        <v xml:space="preserve">   Ciments, même colorés (à l'excl. des ciments Portland et des ciments alumineux)</v>
      </c>
      <c r="C441">
        <v>36229478</v>
      </c>
      <c r="D441">
        <v>953407</v>
      </c>
    </row>
    <row r="442" spans="1:4" x14ac:dyDescent="0.25">
      <c r="A442" t="str">
        <f>T("   270730")</f>
        <v xml:space="preserve">   270730</v>
      </c>
      <c r="B442" t="str">
        <f>T("   XYLOL 'XYLÈNES' CONTENANT &gt; 50% DE XYLÈNES (À L'EXCL. DES PRODUITS DE CONSTITUTION CHIMIQUE DÉFINIE)")</f>
        <v xml:space="preserve">   XYLOL 'XYLÈNES' CONTENANT &gt; 50% DE XYLÈNES (À L'EXCL. DES PRODUITS DE CONSTITUTION CHIMIQUE DÉFINIE)</v>
      </c>
      <c r="C442">
        <v>7536595</v>
      </c>
      <c r="D442">
        <v>5365</v>
      </c>
    </row>
    <row r="443" spans="1:4" x14ac:dyDescent="0.25">
      <c r="A443" t="str">
        <f>T("   270750")</f>
        <v xml:space="preserve">   270750</v>
      </c>
      <c r="B443"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443">
        <v>4435113</v>
      </c>
      <c r="D443">
        <v>2018</v>
      </c>
    </row>
    <row r="444" spans="1:4" x14ac:dyDescent="0.25">
      <c r="A444" t="str">
        <f>T("   271011")</f>
        <v xml:space="preserve">   271011</v>
      </c>
      <c r="B444"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44">
        <v>39944810</v>
      </c>
      <c r="D444">
        <v>53155</v>
      </c>
    </row>
    <row r="445" spans="1:4" x14ac:dyDescent="0.25">
      <c r="A445" t="str">
        <f>T("   271019")</f>
        <v xml:space="preserve">   271019</v>
      </c>
      <c r="B445" t="str">
        <f>T("   Huiles moyennes et préparations, de pétrole ou de minéraux bitumineux, n.d.a.")</f>
        <v xml:space="preserve">   Huiles moyennes et préparations, de pétrole ou de minéraux bitumineux, n.d.a.</v>
      </c>
      <c r="C445">
        <v>4143754238</v>
      </c>
      <c r="D445">
        <v>12658364</v>
      </c>
    </row>
    <row r="446" spans="1:4" x14ac:dyDescent="0.25">
      <c r="A446" t="str">
        <f>T("   271320")</f>
        <v xml:space="preserve">   271320</v>
      </c>
      <c r="B446" t="str">
        <f>T("   Bitume de pétrole")</f>
        <v xml:space="preserve">   Bitume de pétrole</v>
      </c>
      <c r="C446">
        <v>18960706</v>
      </c>
      <c r="D446">
        <v>39420</v>
      </c>
    </row>
    <row r="447" spans="1:4" x14ac:dyDescent="0.25">
      <c r="A447" t="str">
        <f>T("   280300")</f>
        <v xml:space="preserve">   280300</v>
      </c>
      <c r="B447" t="str">
        <f>T("   Carbone [noirs de carbone et autres formes de carbone, n.d.a.]")</f>
        <v xml:space="preserve">   Carbone [noirs de carbone et autres formes de carbone, n.d.a.]</v>
      </c>
      <c r="C447">
        <v>629065</v>
      </c>
      <c r="D447">
        <v>290</v>
      </c>
    </row>
    <row r="448" spans="1:4" x14ac:dyDescent="0.25">
      <c r="A448" t="str">
        <f>T("   280700")</f>
        <v xml:space="preserve">   280700</v>
      </c>
      <c r="B448" t="str">
        <f>T("   Acide sulfurique; oléum")</f>
        <v xml:space="preserve">   Acide sulfurique; oléum</v>
      </c>
      <c r="C448">
        <v>19114672</v>
      </c>
      <c r="D448">
        <v>100960</v>
      </c>
    </row>
    <row r="449" spans="1:4" x14ac:dyDescent="0.25">
      <c r="A449" t="str">
        <f>T("   280800")</f>
        <v xml:space="preserve">   280800</v>
      </c>
      <c r="B449" t="str">
        <f>T("   Acide nitrique; acides sulfonitriques")</f>
        <v xml:space="preserve">   Acide nitrique; acides sulfonitriques</v>
      </c>
      <c r="C449">
        <v>6562880</v>
      </c>
      <c r="D449">
        <v>20966</v>
      </c>
    </row>
    <row r="450" spans="1:4" x14ac:dyDescent="0.25">
      <c r="A450" t="str">
        <f>T("   281122")</f>
        <v xml:space="preserve">   281122</v>
      </c>
      <c r="B450" t="str">
        <f>T("   Dioxyde de silicium")</f>
        <v xml:space="preserve">   Dioxyde de silicium</v>
      </c>
      <c r="C450">
        <v>2566325</v>
      </c>
      <c r="D450">
        <v>1252</v>
      </c>
    </row>
    <row r="451" spans="1:4" x14ac:dyDescent="0.25">
      <c r="A451" t="str">
        <f>T("   281420")</f>
        <v xml:space="preserve">   281420</v>
      </c>
      <c r="B451" t="str">
        <f>T("   Ammoniac en solution aqueuse [ammoniaque]")</f>
        <v xml:space="preserve">   Ammoniac en solution aqueuse [ammoniaque]</v>
      </c>
      <c r="C451">
        <v>745151</v>
      </c>
      <c r="D451">
        <v>2268</v>
      </c>
    </row>
    <row r="452" spans="1:4" x14ac:dyDescent="0.25">
      <c r="A452" t="str">
        <f>T("   281511")</f>
        <v xml:space="preserve">   281511</v>
      </c>
      <c r="B452" t="str">
        <f>T("   Hydroxyde de sodium [soude caustique], solide")</f>
        <v xml:space="preserve">   Hydroxyde de sodium [soude caustique], solide</v>
      </c>
      <c r="C452">
        <v>667966988</v>
      </c>
      <c r="D452">
        <v>1381716</v>
      </c>
    </row>
    <row r="453" spans="1:4" x14ac:dyDescent="0.25">
      <c r="A453" t="str">
        <f>T("   282110")</f>
        <v xml:space="preserve">   282110</v>
      </c>
      <c r="B453" t="str">
        <f>T("   Oxydes et hydroxydes de fer")</f>
        <v xml:space="preserve">   Oxydes et hydroxydes de fer</v>
      </c>
      <c r="C453">
        <v>1102013</v>
      </c>
      <c r="D453">
        <v>104</v>
      </c>
    </row>
    <row r="454" spans="1:4" x14ac:dyDescent="0.25">
      <c r="A454" t="str">
        <f>T("   282300")</f>
        <v xml:space="preserve">   282300</v>
      </c>
      <c r="B454" t="str">
        <f>T("   Oxydes de titane")</f>
        <v xml:space="preserve">   Oxydes de titane</v>
      </c>
      <c r="C454">
        <v>6889460</v>
      </c>
      <c r="D454">
        <v>7000</v>
      </c>
    </row>
    <row r="455" spans="1:4" x14ac:dyDescent="0.25">
      <c r="A455" t="str">
        <f>T("   282720")</f>
        <v xml:space="preserve">   282720</v>
      </c>
      <c r="B455" t="str">
        <f>T("   Chlorure de calcium")</f>
        <v xml:space="preserve">   Chlorure de calcium</v>
      </c>
      <c r="C455">
        <v>1592015</v>
      </c>
      <c r="D455">
        <v>2140</v>
      </c>
    </row>
    <row r="456" spans="1:4" x14ac:dyDescent="0.25">
      <c r="A456" t="str">
        <f>T("   282890")</f>
        <v xml:space="preserve">   282890</v>
      </c>
      <c r="B456" t="str">
        <f>T("   Hypochlorites, chlorites et hypobromites (à l'excl. des hypochlorites de calcium)")</f>
        <v xml:space="preserve">   Hypochlorites, chlorites et hypobromites (à l'excl. des hypochlorites de calcium)</v>
      </c>
      <c r="C456">
        <v>11094822</v>
      </c>
      <c r="D456">
        <v>22622</v>
      </c>
    </row>
    <row r="457" spans="1:4" x14ac:dyDescent="0.25">
      <c r="A457" t="str">
        <f>T("   283329")</f>
        <v xml:space="preserve">   283329</v>
      </c>
      <c r="B457" t="str">
        <f>T("   SULFATES (AUTRES QUE DE SODIUM, DE MAGNÉSIUM, D'ALUMINIUM, DE NICKEL, DE CUIVRE, DE BARYUM OU DE MERCURE)")</f>
        <v xml:space="preserve">   SULFATES (AUTRES QUE DE SODIUM, DE MAGNÉSIUM, D'ALUMINIUM, DE NICKEL, DE CUIVRE, DE BARYUM OU DE MERCURE)</v>
      </c>
      <c r="C457">
        <v>2729451</v>
      </c>
      <c r="D457">
        <v>20310</v>
      </c>
    </row>
    <row r="458" spans="1:4" x14ac:dyDescent="0.25">
      <c r="A458" t="str">
        <f>T("   283525")</f>
        <v xml:space="preserve">   283525</v>
      </c>
      <c r="B458" t="str">
        <f>T("   Hydrogénoorthophosphate de calcium [phosphate dicalcique]")</f>
        <v xml:space="preserve">   Hydrogénoorthophosphate de calcium [phosphate dicalcique]</v>
      </c>
      <c r="C458">
        <v>13722684</v>
      </c>
      <c r="D458">
        <v>84408</v>
      </c>
    </row>
    <row r="459" spans="1:4" x14ac:dyDescent="0.25">
      <c r="A459" t="str">
        <f>T("   283630")</f>
        <v xml:space="preserve">   283630</v>
      </c>
      <c r="B459" t="str">
        <f>T("   Hydrogénocarbonate [bicarbonate] de sodium")</f>
        <v xml:space="preserve">   Hydrogénocarbonate [bicarbonate] de sodium</v>
      </c>
      <c r="C459">
        <v>4278171</v>
      </c>
      <c r="D459">
        <v>28252</v>
      </c>
    </row>
    <row r="460" spans="1:4" x14ac:dyDescent="0.25">
      <c r="A460" t="str">
        <f>T("   284990")</f>
        <v xml:space="preserve">   284990</v>
      </c>
      <c r="B460" t="str">
        <f>T("   Carbures, de constitution chimique définie ou non (à l'excl. des carbures de calcium et de silicium)")</f>
        <v xml:space="preserve">   Carbures, de constitution chimique définie ou non (à l'excl. des carbures de calcium et de silicium)</v>
      </c>
      <c r="C460">
        <v>33535</v>
      </c>
      <c r="D460">
        <v>1</v>
      </c>
    </row>
    <row r="461" spans="1:4" x14ac:dyDescent="0.25">
      <c r="A461" t="str">
        <f>T("   290110")</f>
        <v xml:space="preserve">   290110</v>
      </c>
      <c r="B461" t="str">
        <f>T("   Hydrocarbures acycliques, saturés")</f>
        <v xml:space="preserve">   Hydrocarbures acycliques, saturés</v>
      </c>
      <c r="C461">
        <v>1134148</v>
      </c>
      <c r="D461">
        <v>840</v>
      </c>
    </row>
    <row r="462" spans="1:4" x14ac:dyDescent="0.25">
      <c r="A462" t="str">
        <f>T("   290230")</f>
        <v xml:space="preserve">   290230</v>
      </c>
      <c r="B462" t="str">
        <f>T("   Toluène")</f>
        <v xml:space="preserve">   Toluène</v>
      </c>
      <c r="C462">
        <v>29987725</v>
      </c>
      <c r="D462">
        <v>36000</v>
      </c>
    </row>
    <row r="463" spans="1:4" x14ac:dyDescent="0.25">
      <c r="A463" t="str">
        <f>T("   290319")</f>
        <v xml:space="preserve">   290319</v>
      </c>
      <c r="B463" t="s">
        <v>68</v>
      </c>
      <c r="C463">
        <v>325815</v>
      </c>
      <c r="D463">
        <v>250</v>
      </c>
    </row>
    <row r="464" spans="1:4" x14ac:dyDescent="0.25">
      <c r="A464" t="str">
        <f>T("   290531")</f>
        <v xml:space="preserve">   290531</v>
      </c>
      <c r="B464" t="str">
        <f>T("   ÉTHYLÈNE GLYCOL [ÉTHANEDIOL]")</f>
        <v xml:space="preserve">   ÉTHYLÈNE GLYCOL [ÉTHANEDIOL]</v>
      </c>
      <c r="C464">
        <v>3192408</v>
      </c>
      <c r="D464">
        <v>2351</v>
      </c>
    </row>
    <row r="465" spans="1:4" x14ac:dyDescent="0.25">
      <c r="A465" t="str">
        <f>T("   290944")</f>
        <v xml:space="preserve">   290944</v>
      </c>
      <c r="B465" t="str">
        <f>T("   Ethers monoalkyliques de l'éthylène-glycol ou du diéthylène-glycol (à l'excl. du 2,2'-oxydiéthanol [diéthylène-glycol] ainsi que des éthers monométhyliques ou monobutyliques)")</f>
        <v xml:space="preserve">   Ethers monoalkyliques de l'éthylène-glycol ou du diéthylène-glycol (à l'excl. du 2,2'-oxydiéthanol [diéthylène-glycol] ainsi que des éthers monométhyliques ou monobutyliques)</v>
      </c>
      <c r="C465">
        <v>18703997</v>
      </c>
      <c r="D465">
        <v>11289</v>
      </c>
    </row>
    <row r="466" spans="1:4" x14ac:dyDescent="0.25">
      <c r="A466" t="str">
        <f>T("   291211")</f>
        <v xml:space="preserve">   291211</v>
      </c>
      <c r="B466" t="str">
        <f>T("   Méthanal [formaldéhyde]")</f>
        <v xml:space="preserve">   Méthanal [formaldéhyde]</v>
      </c>
      <c r="C466">
        <v>8360210</v>
      </c>
      <c r="D466">
        <v>21520</v>
      </c>
    </row>
    <row r="467" spans="1:4" x14ac:dyDescent="0.25">
      <c r="A467" t="str">
        <f>T("   291422")</f>
        <v xml:space="preserve">   291422</v>
      </c>
      <c r="B467" t="str">
        <f>T("   Cyclohexanone et méthylcyclohexanones")</f>
        <v xml:space="preserve">   Cyclohexanone et méthylcyclohexanones</v>
      </c>
      <c r="C467">
        <v>339571</v>
      </c>
      <c r="D467">
        <v>205</v>
      </c>
    </row>
    <row r="468" spans="1:4" x14ac:dyDescent="0.25">
      <c r="A468" t="str">
        <f>T("   291533")</f>
        <v xml:space="preserve">   291533</v>
      </c>
      <c r="B468" t="str">
        <f>T("   Acétate de n-butyle")</f>
        <v xml:space="preserve">   Acétate de n-butyle</v>
      </c>
      <c r="C468">
        <v>16310373</v>
      </c>
      <c r="D468">
        <v>19890</v>
      </c>
    </row>
    <row r="469" spans="1:4" x14ac:dyDescent="0.25">
      <c r="A469" t="str">
        <f>T("   291560")</f>
        <v xml:space="preserve">   291560</v>
      </c>
      <c r="B469" t="str">
        <f>T("   Acides butanoïques, acides pentanoïques, leurs sels et leurs esters")</f>
        <v xml:space="preserve">   Acides butanoïques, acides pentanoïques, leurs sels et leurs esters</v>
      </c>
      <c r="C469">
        <v>10384014</v>
      </c>
      <c r="D469">
        <v>4639</v>
      </c>
    </row>
    <row r="470" spans="1:4" x14ac:dyDescent="0.25">
      <c r="A470" t="str">
        <f>T("   291570")</f>
        <v xml:space="preserve">   291570</v>
      </c>
      <c r="B470" t="str">
        <f>T("   Acide palmitique, acide stéarique, leurs sels et leurs esters")</f>
        <v xml:space="preserve">   Acide palmitique, acide stéarique, leurs sels et leurs esters</v>
      </c>
      <c r="C470">
        <v>568475</v>
      </c>
      <c r="D470">
        <v>300</v>
      </c>
    </row>
    <row r="471" spans="1:4" x14ac:dyDescent="0.25">
      <c r="A471" t="str">
        <f>T("   291733")</f>
        <v xml:space="preserve">   291733</v>
      </c>
      <c r="B471" t="str">
        <f>T("   Orthophtalates de dinonyle ou de didécyle")</f>
        <v xml:space="preserve">   Orthophtalates de dinonyle ou de didécyle</v>
      </c>
      <c r="C471">
        <v>2198266</v>
      </c>
      <c r="D471">
        <v>1875</v>
      </c>
    </row>
    <row r="472" spans="1:4" x14ac:dyDescent="0.25">
      <c r="A472" t="str">
        <f>T("   291734")</f>
        <v xml:space="preserve">   291734</v>
      </c>
      <c r="B472" t="str">
        <f>T("   ESTERS DE L'ACIDE ORTHOPHTALIQUE (À L'EXCL. DES ORTHOPHTALATES DE DIOCTYLE, DE DINONYLE OU DE DIDÉCYLE)")</f>
        <v xml:space="preserve">   ESTERS DE L'ACIDE ORTHOPHTALIQUE (À L'EXCL. DES ORTHOPHTALATES DE DIOCTYLE, DE DINONYLE OU DE DIDÉCYLE)</v>
      </c>
      <c r="C472">
        <v>700502</v>
      </c>
      <c r="D472">
        <v>127</v>
      </c>
    </row>
    <row r="473" spans="1:4" x14ac:dyDescent="0.25">
      <c r="A473" t="str">
        <f>T("   292241")</f>
        <v xml:space="preserve">   292241</v>
      </c>
      <c r="B473" t="str">
        <f>T("   Lysine et ses esters; sels de ces produits")</f>
        <v xml:space="preserve">   Lysine et ses esters; sels de ces produits</v>
      </c>
      <c r="C473">
        <v>16418023</v>
      </c>
      <c r="D473">
        <v>26181</v>
      </c>
    </row>
    <row r="474" spans="1:4" x14ac:dyDescent="0.25">
      <c r="A474" t="str">
        <f>T("   292310")</f>
        <v xml:space="preserve">   292310</v>
      </c>
      <c r="B474" t="str">
        <f>T("   Choline et ses sels")</f>
        <v xml:space="preserve">   Choline et ses sels</v>
      </c>
      <c r="C474">
        <v>4348360</v>
      </c>
      <c r="D474">
        <v>14072</v>
      </c>
    </row>
    <row r="475" spans="1:4" x14ac:dyDescent="0.25">
      <c r="A475" t="str">
        <f>T("   292320")</f>
        <v xml:space="preserve">   292320</v>
      </c>
      <c r="B475" t="str">
        <f>T("   Lécithines et autres phosphoaminolipides, de constitution chimique définie ou non")</f>
        <v xml:space="preserve">   Lécithines et autres phosphoaminolipides, de constitution chimique définie ou non</v>
      </c>
      <c r="C475">
        <v>474915</v>
      </c>
      <c r="D475">
        <v>219</v>
      </c>
    </row>
    <row r="476" spans="1:4" x14ac:dyDescent="0.25">
      <c r="A476" t="str">
        <f>T("   292800")</f>
        <v xml:space="preserve">   292800</v>
      </c>
      <c r="B476" t="str">
        <f>T("   Dérivés organiques de l'hydrazine ou de l'hydroxylamine")</f>
        <v xml:space="preserve">   Dérivés organiques de l'hydrazine ou de l'hydroxylamine</v>
      </c>
      <c r="C476">
        <v>1201262</v>
      </c>
      <c r="D476">
        <v>318</v>
      </c>
    </row>
    <row r="477" spans="1:4" x14ac:dyDescent="0.25">
      <c r="A477" t="str">
        <f>T("   293040")</f>
        <v xml:space="preserve">   293040</v>
      </c>
      <c r="B477" t="str">
        <f>T("   Méthionine")</f>
        <v xml:space="preserve">   Méthionine</v>
      </c>
      <c r="C477">
        <v>25217727</v>
      </c>
      <c r="D477">
        <v>22090</v>
      </c>
    </row>
    <row r="478" spans="1:4" x14ac:dyDescent="0.25">
      <c r="A478" t="str">
        <f>T("   293090")</f>
        <v xml:space="preserve">   293090</v>
      </c>
      <c r="B478" t="str">
        <f>T("   THIOCOMPOSÉS ORGANIQUES (À L'EXCL. DES THIOCARBAMATES, DES DITHIOCARBAMATES, DES MONO-, DI- OU TÉTRASULFURES DE THIOURAME, DE LA MÉTHIONINE, DU CAPTAFOL [ISO] AINSI QUE DU MÉTHAMIDOPHOS [ISO])")</f>
        <v xml:space="preserve">   THIOCOMPOSÉS ORGANIQUES (À L'EXCL. DES THIOCARBAMATES, DES DITHIOCARBAMATES, DES MONO-, DI- OU TÉTRASULFURES DE THIOURAME, DE LA MÉTHIONINE, DU CAPTAFOL [ISO] AINSI QUE DU MÉTHAMIDOPHOS [ISO])</v>
      </c>
      <c r="C478">
        <v>10198211</v>
      </c>
      <c r="D478">
        <v>9682</v>
      </c>
    </row>
    <row r="479" spans="1:4" x14ac:dyDescent="0.25">
      <c r="A479" t="str">
        <f>T("   293500")</f>
        <v xml:space="preserve">   293500</v>
      </c>
      <c r="B479" t="str">
        <f>T("   Sulfonamides")</f>
        <v xml:space="preserve">   Sulfonamides</v>
      </c>
      <c r="C479">
        <v>1081678</v>
      </c>
      <c r="D479">
        <v>334</v>
      </c>
    </row>
    <row r="480" spans="1:4" x14ac:dyDescent="0.25">
      <c r="A480" t="str">
        <f>T("   293621")</f>
        <v xml:space="preserve">   293621</v>
      </c>
      <c r="B480" t="str">
        <f>T("   Vitamines A et leurs dérivés utilisés principalement en tant que vitamines")</f>
        <v xml:space="preserve">   Vitamines A et leurs dérivés utilisés principalement en tant que vitamines</v>
      </c>
      <c r="C480">
        <v>19386531</v>
      </c>
      <c r="D480">
        <v>701</v>
      </c>
    </row>
    <row r="481" spans="1:4" x14ac:dyDescent="0.25">
      <c r="A481" t="str">
        <f>T("   293627")</f>
        <v xml:space="preserve">   293627</v>
      </c>
      <c r="B481" t="str">
        <f>T("   Vitamine C et ses dérivés utilisés principalement en tant que vitamines")</f>
        <v xml:space="preserve">   Vitamine C et ses dérivés utilisés principalement en tant que vitamines</v>
      </c>
      <c r="C481">
        <v>3729133</v>
      </c>
      <c r="D481">
        <v>331</v>
      </c>
    </row>
    <row r="482" spans="1:4" x14ac:dyDescent="0.25">
      <c r="A482" t="str">
        <f>T("   293629")</f>
        <v xml:space="preserve">   293629</v>
      </c>
      <c r="B482"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482">
        <v>77266839</v>
      </c>
      <c r="D482">
        <v>15199</v>
      </c>
    </row>
    <row r="483" spans="1:4" x14ac:dyDescent="0.25">
      <c r="A483" t="str">
        <f>T("   293690")</f>
        <v xml:space="preserve">   293690</v>
      </c>
      <c r="B483" t="str">
        <f>T("   Mélanges de provitamines ou de vitamines, même en solutions quelconques, et concentrats naturels de vitamines")</f>
        <v xml:space="preserve">   Mélanges de provitamines ou de vitamines, même en solutions quelconques, et concentrats naturels de vitamines</v>
      </c>
      <c r="C483">
        <v>9595383</v>
      </c>
      <c r="D483">
        <v>20450</v>
      </c>
    </row>
    <row r="484" spans="1:4" x14ac:dyDescent="0.25">
      <c r="A484" t="str">
        <f>T("   300220")</f>
        <v xml:space="preserve">   300220</v>
      </c>
      <c r="B484" t="str">
        <f>T("   Vaccins pour la médecine humaine")</f>
        <v xml:space="preserve">   Vaccins pour la médecine humaine</v>
      </c>
      <c r="C484">
        <v>15576671</v>
      </c>
      <c r="D484">
        <v>2497.9</v>
      </c>
    </row>
    <row r="485" spans="1:4" x14ac:dyDescent="0.25">
      <c r="A485" t="str">
        <f>T("   300390")</f>
        <v xml:space="preserve">   300390</v>
      </c>
      <c r="B485" t="s">
        <v>77</v>
      </c>
      <c r="C485">
        <v>160579</v>
      </c>
      <c r="D485">
        <v>0.9</v>
      </c>
    </row>
    <row r="486" spans="1:4" x14ac:dyDescent="0.25">
      <c r="A486" t="str">
        <f>T("   300410")</f>
        <v xml:space="preserve">   300410</v>
      </c>
      <c r="B486" t="s">
        <v>78</v>
      </c>
      <c r="C486">
        <v>12177241</v>
      </c>
      <c r="D486">
        <v>991</v>
      </c>
    </row>
    <row r="487" spans="1:4" x14ac:dyDescent="0.25">
      <c r="A487" t="str">
        <f>T("   300420")</f>
        <v xml:space="preserve">   300420</v>
      </c>
      <c r="B487" t="s">
        <v>79</v>
      </c>
      <c r="C487">
        <v>20723090</v>
      </c>
      <c r="D487">
        <v>3350</v>
      </c>
    </row>
    <row r="488" spans="1:4" x14ac:dyDescent="0.25">
      <c r="A488" t="str">
        <f>T("   300432")</f>
        <v xml:space="preserve">   300432</v>
      </c>
      <c r="B488" t="s">
        <v>80</v>
      </c>
      <c r="C488">
        <v>8688191</v>
      </c>
      <c r="D488">
        <v>466</v>
      </c>
    </row>
    <row r="489" spans="1:4" x14ac:dyDescent="0.25">
      <c r="A489" t="str">
        <f>T("   300439")</f>
        <v xml:space="preserve">   300439</v>
      </c>
      <c r="B489" t="s">
        <v>81</v>
      </c>
      <c r="C489">
        <v>923999</v>
      </c>
      <c r="D489">
        <v>854</v>
      </c>
    </row>
    <row r="490" spans="1:4" x14ac:dyDescent="0.25">
      <c r="A490" t="str">
        <f>T("   300450")</f>
        <v xml:space="preserve">   300450</v>
      </c>
      <c r="B490" t="s">
        <v>83</v>
      </c>
      <c r="C490">
        <v>130524888</v>
      </c>
      <c r="D490">
        <v>4097</v>
      </c>
    </row>
    <row r="491" spans="1:4" x14ac:dyDescent="0.25">
      <c r="A491" t="str">
        <f>T("   300490")</f>
        <v xml:space="preserve">   300490</v>
      </c>
      <c r="B491" t="s">
        <v>84</v>
      </c>
      <c r="C491">
        <v>1812799353</v>
      </c>
      <c r="D491">
        <v>216203.5</v>
      </c>
    </row>
    <row r="492" spans="1:4" x14ac:dyDescent="0.25">
      <c r="A492" t="str">
        <f>T("   300590")</f>
        <v xml:space="preserve">   300590</v>
      </c>
      <c r="B492" t="s">
        <v>85</v>
      </c>
      <c r="C492">
        <v>15132896</v>
      </c>
      <c r="D492">
        <v>2139</v>
      </c>
    </row>
    <row r="493" spans="1:4" x14ac:dyDescent="0.25">
      <c r="A493" t="str">
        <f>T("   300610")</f>
        <v xml:space="preserve">   300610</v>
      </c>
      <c r="B493" t="s">
        <v>86</v>
      </c>
      <c r="C493">
        <v>47218845</v>
      </c>
      <c r="D493">
        <v>235</v>
      </c>
    </row>
    <row r="494" spans="1:4" x14ac:dyDescent="0.25">
      <c r="A494" t="str">
        <f>T("   310210")</f>
        <v xml:space="preserve">   310210</v>
      </c>
      <c r="B494"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494">
        <v>110972498</v>
      </c>
      <c r="D494">
        <v>480000</v>
      </c>
    </row>
    <row r="495" spans="1:4" x14ac:dyDescent="0.25">
      <c r="A495" t="str">
        <f>T("   310229")</f>
        <v xml:space="preserve">   310229</v>
      </c>
      <c r="B495" t="str">
        <f>T("   Sels doubles et mélanges de sulfate d'ammonium et de nitrate d'ammonium (à l'excl. des produits présentés soit en tablettes ou formes simil., soit en emballages d'un poids brut &lt;= 10 kg)")</f>
        <v xml:space="preserve">   Sels doubles et mélanges de sulfate d'ammonium et de nitrate d'ammonium (à l'excl. des produits présentés soit en tablettes ou formes simil., soit en emballages d'un poids brut &lt;= 10 kg)</v>
      </c>
      <c r="C495">
        <v>805991727</v>
      </c>
      <c r="D495">
        <v>2713000</v>
      </c>
    </row>
    <row r="496" spans="1:4" x14ac:dyDescent="0.25">
      <c r="A496" t="str">
        <f>T("   310230")</f>
        <v xml:space="preserve">   310230</v>
      </c>
      <c r="B496"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496">
        <v>17356702</v>
      </c>
      <c r="D496">
        <v>37800</v>
      </c>
    </row>
    <row r="497" spans="1:4" x14ac:dyDescent="0.25">
      <c r="A497" t="str">
        <f>T("   320413")</f>
        <v xml:space="preserve">   320413</v>
      </c>
      <c r="B497" t="s">
        <v>93</v>
      </c>
      <c r="C497">
        <v>15438019</v>
      </c>
      <c r="D497">
        <v>5056</v>
      </c>
    </row>
    <row r="498" spans="1:4" x14ac:dyDescent="0.25">
      <c r="A498" t="str">
        <f>T("   320414")</f>
        <v xml:space="preserve">   320414</v>
      </c>
      <c r="B498" t="s">
        <v>94</v>
      </c>
      <c r="C498">
        <v>3382130</v>
      </c>
      <c r="D498">
        <v>317</v>
      </c>
    </row>
    <row r="499" spans="1:4" x14ac:dyDescent="0.25">
      <c r="A499" t="str">
        <f>T("   320417")</f>
        <v xml:space="preserve">   320417</v>
      </c>
      <c r="B499" t="s">
        <v>96</v>
      </c>
      <c r="C499">
        <v>7322481</v>
      </c>
      <c r="D499">
        <v>382</v>
      </c>
    </row>
    <row r="500" spans="1:4" x14ac:dyDescent="0.25">
      <c r="A500" t="str">
        <f>T("   320419")</f>
        <v xml:space="preserve">   320419</v>
      </c>
      <c r="B500" t="s">
        <v>97</v>
      </c>
      <c r="C500">
        <v>30773524</v>
      </c>
      <c r="D500">
        <v>2436</v>
      </c>
    </row>
    <row r="501" spans="1:4" x14ac:dyDescent="0.25">
      <c r="A501" t="str">
        <f>T("   320611")</f>
        <v xml:space="preserve">   320611</v>
      </c>
      <c r="B501" t="s">
        <v>98</v>
      </c>
      <c r="C501">
        <v>10967330</v>
      </c>
      <c r="D501">
        <v>6500</v>
      </c>
    </row>
    <row r="502" spans="1:4" x14ac:dyDescent="0.25">
      <c r="A502" t="str">
        <f>T("   320620")</f>
        <v xml:space="preserve">   320620</v>
      </c>
      <c r="B502" t="s">
        <v>99</v>
      </c>
      <c r="C502">
        <v>983284</v>
      </c>
      <c r="D502">
        <v>453</v>
      </c>
    </row>
    <row r="503" spans="1:4" x14ac:dyDescent="0.25">
      <c r="A503" t="str">
        <f>T("   320820")</f>
        <v xml:space="preserve">   320820</v>
      </c>
      <c r="B503" t="s">
        <v>101</v>
      </c>
      <c r="C503">
        <v>65596</v>
      </c>
      <c r="D503">
        <v>100</v>
      </c>
    </row>
    <row r="504" spans="1:4" x14ac:dyDescent="0.25">
      <c r="A504" t="str">
        <f>T("   321100")</f>
        <v xml:space="preserve">   321100</v>
      </c>
      <c r="B504" t="str">
        <f>T("   Siccatifs préparés")</f>
        <v xml:space="preserve">   Siccatifs préparés</v>
      </c>
      <c r="C504">
        <v>1587935</v>
      </c>
      <c r="D504">
        <v>690</v>
      </c>
    </row>
    <row r="505" spans="1:4" x14ac:dyDescent="0.25">
      <c r="A505" t="str">
        <f>T("   321290")</f>
        <v xml:space="preserve">   321290</v>
      </c>
      <c r="B505" t="s">
        <v>103</v>
      </c>
      <c r="C505">
        <v>1870798</v>
      </c>
      <c r="D505">
        <v>158</v>
      </c>
    </row>
    <row r="506" spans="1:4" x14ac:dyDescent="0.25">
      <c r="A506" t="str">
        <f>T("   321590")</f>
        <v xml:space="preserve">   321590</v>
      </c>
      <c r="B506" t="str">
        <f>T("   Encres à écrire et à dessiner, même concentrées ou sous formes solides")</f>
        <v xml:space="preserve">   Encres à écrire et à dessiner, même concentrées ou sous formes solides</v>
      </c>
      <c r="C506">
        <v>986584</v>
      </c>
      <c r="D506">
        <v>475</v>
      </c>
    </row>
    <row r="507" spans="1:4" x14ac:dyDescent="0.25">
      <c r="A507" t="str">
        <f>T("   330129")</f>
        <v xml:space="preserve">   330129</v>
      </c>
      <c r="B507"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507">
        <v>3033159</v>
      </c>
      <c r="D507">
        <v>68.900000000000006</v>
      </c>
    </row>
    <row r="508" spans="1:4" x14ac:dyDescent="0.25">
      <c r="A508" t="str">
        <f>T("   330210")</f>
        <v xml:space="preserve">   330210</v>
      </c>
      <c r="B50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508">
        <v>268241723</v>
      </c>
      <c r="D508">
        <v>45072</v>
      </c>
    </row>
    <row r="509" spans="1:4" x14ac:dyDescent="0.25">
      <c r="A509" t="str">
        <f>T("   330499")</f>
        <v xml:space="preserve">   330499</v>
      </c>
      <c r="B509" t="s">
        <v>106</v>
      </c>
      <c r="C509">
        <v>3550000</v>
      </c>
      <c r="D509">
        <v>15133</v>
      </c>
    </row>
    <row r="510" spans="1:4" x14ac:dyDescent="0.25">
      <c r="A510" t="str">
        <f>T("   330510")</f>
        <v xml:space="preserve">   330510</v>
      </c>
      <c r="B510" t="str">
        <f>T("   Shampooings")</f>
        <v xml:space="preserve">   Shampooings</v>
      </c>
      <c r="C510">
        <v>68548</v>
      </c>
      <c r="D510">
        <v>57</v>
      </c>
    </row>
    <row r="511" spans="1:4" x14ac:dyDescent="0.25">
      <c r="A511" t="str">
        <f>T("   330610")</f>
        <v xml:space="preserve">   330610</v>
      </c>
      <c r="B511" t="str">
        <f>T("   Dentifrices, préparés, même des types utilisés par les dentistes")</f>
        <v xml:space="preserve">   Dentifrices, préparés, même des types utilisés par les dentistes</v>
      </c>
      <c r="C511">
        <v>5268120</v>
      </c>
      <c r="D511">
        <v>4483</v>
      </c>
    </row>
    <row r="512" spans="1:4" x14ac:dyDescent="0.25">
      <c r="A512" t="str">
        <f>T("   330690")</f>
        <v xml:space="preserve">   330690</v>
      </c>
      <c r="B512"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512">
        <v>4978665</v>
      </c>
      <c r="D512">
        <v>10139</v>
      </c>
    </row>
    <row r="513" spans="1:4" x14ac:dyDescent="0.25">
      <c r="A513" t="str">
        <f>T("   330720")</f>
        <v xml:space="preserve">   330720</v>
      </c>
      <c r="B513" t="str">
        <f>T("   Désodorisants corporels et antisudoraux, préparés")</f>
        <v xml:space="preserve">   Désodorisants corporels et antisudoraux, préparés</v>
      </c>
      <c r="C513">
        <v>708962</v>
      </c>
      <c r="D513">
        <v>1564</v>
      </c>
    </row>
    <row r="514" spans="1:4" x14ac:dyDescent="0.25">
      <c r="A514" t="str">
        <f>T("   340119")</f>
        <v xml:space="preserve">   340119</v>
      </c>
      <c r="B514" t="s">
        <v>108</v>
      </c>
      <c r="C514">
        <v>41925500</v>
      </c>
      <c r="D514">
        <v>186087</v>
      </c>
    </row>
    <row r="515" spans="1:4" x14ac:dyDescent="0.25">
      <c r="A515" t="str">
        <f>T("   340220")</f>
        <v xml:space="preserve">   340220</v>
      </c>
      <c r="B515" t="s">
        <v>109</v>
      </c>
      <c r="C515">
        <v>211357</v>
      </c>
      <c r="D515">
        <v>294</v>
      </c>
    </row>
    <row r="516" spans="1:4" x14ac:dyDescent="0.25">
      <c r="A516" t="str">
        <f>T("   340290")</f>
        <v xml:space="preserve">   340290</v>
      </c>
      <c r="B516" t="s">
        <v>110</v>
      </c>
      <c r="C516">
        <v>384627225</v>
      </c>
      <c r="D516">
        <v>156321</v>
      </c>
    </row>
    <row r="517" spans="1:4" x14ac:dyDescent="0.25">
      <c r="A517" t="str">
        <f>T("   340319")</f>
        <v xml:space="preserve">   340319</v>
      </c>
      <c r="B517" t="s">
        <v>111</v>
      </c>
      <c r="C517">
        <v>2660495</v>
      </c>
      <c r="D517">
        <v>1490</v>
      </c>
    </row>
    <row r="518" spans="1:4" x14ac:dyDescent="0.25">
      <c r="A518" t="str">
        <f>T("   340399")</f>
        <v xml:space="preserve">   340399</v>
      </c>
      <c r="B518" t="s">
        <v>112</v>
      </c>
      <c r="C518">
        <v>1500000</v>
      </c>
      <c r="D518">
        <v>1500</v>
      </c>
    </row>
    <row r="519" spans="1:4" x14ac:dyDescent="0.25">
      <c r="A519" t="str">
        <f>T("   340490")</f>
        <v xml:space="preserve">   340490</v>
      </c>
      <c r="B519" t="s">
        <v>113</v>
      </c>
      <c r="C519">
        <v>2486272</v>
      </c>
      <c r="D519">
        <v>1400</v>
      </c>
    </row>
    <row r="520" spans="1:4" x14ac:dyDescent="0.25">
      <c r="A520" t="str">
        <f>T("   340510")</f>
        <v xml:space="preserve">   340510</v>
      </c>
      <c r="B520" t="s">
        <v>114</v>
      </c>
      <c r="C520">
        <v>3420831</v>
      </c>
      <c r="D520">
        <v>1477</v>
      </c>
    </row>
    <row r="521" spans="1:4" x14ac:dyDescent="0.25">
      <c r="A521" t="str">
        <f>T("   340520")</f>
        <v xml:space="preserve">   340520</v>
      </c>
      <c r="B521" t="s">
        <v>115</v>
      </c>
      <c r="C521">
        <v>1502804</v>
      </c>
      <c r="D521">
        <v>633</v>
      </c>
    </row>
    <row r="522" spans="1:4" x14ac:dyDescent="0.25">
      <c r="A522" t="str">
        <f>T("   340540")</f>
        <v xml:space="preserve">   340540</v>
      </c>
      <c r="B522"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522">
        <v>7665594</v>
      </c>
      <c r="D522">
        <v>13235</v>
      </c>
    </row>
    <row r="523" spans="1:4" x14ac:dyDescent="0.25">
      <c r="A523" t="str">
        <f>T("   350520")</f>
        <v xml:space="preserve">   350520</v>
      </c>
      <c r="B523"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523">
        <v>10677264</v>
      </c>
      <c r="D523">
        <v>14352</v>
      </c>
    </row>
    <row r="524" spans="1:4" x14ac:dyDescent="0.25">
      <c r="A524" t="str">
        <f>T("   350790")</f>
        <v xml:space="preserve">   350790</v>
      </c>
      <c r="B524" t="str">
        <f>T("   Enzymes et enzymes préparées, n.d.a. (à l'excl. de la présure et de ses concentrats)")</f>
        <v xml:space="preserve">   Enzymes et enzymes préparées, n.d.a. (à l'excl. de la présure et de ses concentrats)</v>
      </c>
      <c r="C524">
        <v>1372268</v>
      </c>
      <c r="D524">
        <v>500</v>
      </c>
    </row>
    <row r="525" spans="1:4" x14ac:dyDescent="0.25">
      <c r="A525" t="str">
        <f>T("   360200")</f>
        <v xml:space="preserve">   360200</v>
      </c>
      <c r="B525" t="str">
        <f>T("   Explosifs préparés (à l'excl. des poudres propulsives)")</f>
        <v xml:space="preserve">   Explosifs préparés (à l'excl. des poudres propulsives)</v>
      </c>
      <c r="C525">
        <v>17249780</v>
      </c>
      <c r="D525">
        <v>37800</v>
      </c>
    </row>
    <row r="526" spans="1:4" x14ac:dyDescent="0.25">
      <c r="A526" t="str">
        <f>T("   370790")</f>
        <v xml:space="preserve">   370790</v>
      </c>
      <c r="B526" t="s">
        <v>124</v>
      </c>
      <c r="C526">
        <v>19812097</v>
      </c>
      <c r="D526">
        <v>46866</v>
      </c>
    </row>
    <row r="527" spans="1:4" x14ac:dyDescent="0.25">
      <c r="A527" t="str">
        <f>T("   380210")</f>
        <v xml:space="preserve">   380210</v>
      </c>
      <c r="B527" t="str">
        <f>T("   Charbons activés (à l'excl. des produits ayant le caractère de médicaments ou conditionnés pour la vente au détail en tant que désodorisants pour réfrigérateurs, automobiles, etc.)")</f>
        <v xml:space="preserve">   Charbons activés (à l'excl. des produits ayant le caractère de médicaments ou conditionnés pour la vente au détail en tant que désodorisants pour réfrigérateurs, automobiles, etc.)</v>
      </c>
      <c r="C527">
        <v>28915596</v>
      </c>
      <c r="D527">
        <v>10901</v>
      </c>
    </row>
    <row r="528" spans="1:4" x14ac:dyDescent="0.25">
      <c r="A528" t="str">
        <f>T("   380290")</f>
        <v xml:space="preserve">   380290</v>
      </c>
      <c r="B528"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528">
        <v>327980</v>
      </c>
      <c r="D528">
        <v>840</v>
      </c>
    </row>
    <row r="529" spans="1:4" x14ac:dyDescent="0.25">
      <c r="A529" t="str">
        <f>T("   380850")</f>
        <v xml:space="preserve">   380850</v>
      </c>
      <c r="B529" t="s">
        <v>125</v>
      </c>
      <c r="C529">
        <v>116896663</v>
      </c>
      <c r="D529">
        <v>46861</v>
      </c>
    </row>
    <row r="530" spans="1:4" x14ac:dyDescent="0.25">
      <c r="A530" t="str">
        <f>T("   380899")</f>
        <v xml:space="preserve">   380899</v>
      </c>
      <c r="B530" t="s">
        <v>126</v>
      </c>
      <c r="C530">
        <v>3851108</v>
      </c>
      <c r="D530">
        <v>1780</v>
      </c>
    </row>
    <row r="531" spans="1:4" x14ac:dyDescent="0.25">
      <c r="A531" t="str">
        <f>T("   380991")</f>
        <v xml:space="preserve">   380991</v>
      </c>
      <c r="B531" t="s">
        <v>128</v>
      </c>
      <c r="C531">
        <v>619915</v>
      </c>
      <c r="D531">
        <v>1040</v>
      </c>
    </row>
    <row r="532" spans="1:4" x14ac:dyDescent="0.25">
      <c r="A532" t="str">
        <f>T("   381090")</f>
        <v xml:space="preserve">   381090</v>
      </c>
      <c r="B532" t="s">
        <v>130</v>
      </c>
      <c r="C532">
        <v>1350000</v>
      </c>
      <c r="D532">
        <v>1420</v>
      </c>
    </row>
    <row r="533" spans="1:4" x14ac:dyDescent="0.25">
      <c r="A533" t="str">
        <f>T("   381190")</f>
        <v xml:space="preserve">   381190</v>
      </c>
      <c r="B533" t="s">
        <v>131</v>
      </c>
      <c r="C533">
        <v>6270117</v>
      </c>
      <c r="D533">
        <v>8831</v>
      </c>
    </row>
    <row r="534" spans="1:4" x14ac:dyDescent="0.25">
      <c r="A534" t="str">
        <f>T("   381220")</f>
        <v xml:space="preserve">   381220</v>
      </c>
      <c r="B534" t="str">
        <f>T("   Plastifiants composites pour caoutchouc ou matières plastiques, n.d.a.")</f>
        <v xml:space="preserve">   Plastifiants composites pour caoutchouc ou matières plastiques, n.d.a.</v>
      </c>
      <c r="C534">
        <v>6557495</v>
      </c>
      <c r="D534">
        <v>3220</v>
      </c>
    </row>
    <row r="535" spans="1:4" x14ac:dyDescent="0.25">
      <c r="A535" t="str">
        <f>T("   381400")</f>
        <v xml:space="preserve">   381400</v>
      </c>
      <c r="B535"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35">
        <v>24045526</v>
      </c>
      <c r="D535">
        <v>47613</v>
      </c>
    </row>
    <row r="536" spans="1:4" x14ac:dyDescent="0.25">
      <c r="A536" t="str">
        <f>T("   382200")</f>
        <v xml:space="preserve">   382200</v>
      </c>
      <c r="B536" t="s">
        <v>133</v>
      </c>
      <c r="C536">
        <v>45509978</v>
      </c>
      <c r="D536">
        <v>4606</v>
      </c>
    </row>
    <row r="537" spans="1:4" x14ac:dyDescent="0.25">
      <c r="A537" t="str">
        <f>T("   382490")</f>
        <v xml:space="preserve">   382490</v>
      </c>
      <c r="B537"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37">
        <v>30859501</v>
      </c>
      <c r="D537">
        <v>19870</v>
      </c>
    </row>
    <row r="538" spans="1:4" x14ac:dyDescent="0.25">
      <c r="A538" t="str">
        <f>T("   382520")</f>
        <v xml:space="preserve">   382520</v>
      </c>
      <c r="B538" t="str">
        <f>T("   Boues d'épuration")</f>
        <v xml:space="preserve">   Boues d'épuration</v>
      </c>
      <c r="C538">
        <v>25896645</v>
      </c>
      <c r="D538">
        <v>108500</v>
      </c>
    </row>
    <row r="539" spans="1:4" x14ac:dyDescent="0.25">
      <c r="A539" t="str">
        <f>T("   390390")</f>
        <v xml:space="preserve">   390390</v>
      </c>
      <c r="B539"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539">
        <v>15766876</v>
      </c>
      <c r="D539">
        <v>20854</v>
      </c>
    </row>
    <row r="540" spans="1:4" x14ac:dyDescent="0.25">
      <c r="A540" t="str">
        <f>T("   390440")</f>
        <v xml:space="preserve">   390440</v>
      </c>
      <c r="B540" t="str">
        <f>T("   Copolymères du chlorure de vinyle, sous formes primaires (à l'excl. des copolymères du chlorure de vinyle et d'acétate de vinyle)")</f>
        <v xml:space="preserve">   Copolymères du chlorure de vinyle, sous formes primaires (à l'excl. des copolymères du chlorure de vinyle et d'acétate de vinyle)</v>
      </c>
      <c r="C540">
        <v>3178126</v>
      </c>
      <c r="D540">
        <v>802</v>
      </c>
    </row>
    <row r="541" spans="1:4" x14ac:dyDescent="0.25">
      <c r="A541" t="str">
        <f>T("   390690")</f>
        <v xml:space="preserve">   390690</v>
      </c>
      <c r="B541" t="str">
        <f>T("   Polymères acryliques, sous formes primaires (à l'excl. du poly[méthacrylate de méthyle])")</f>
        <v xml:space="preserve">   Polymères acryliques, sous formes primaires (à l'excl. du poly[méthacrylate de méthyle])</v>
      </c>
      <c r="C541">
        <v>37748612</v>
      </c>
      <c r="D541">
        <v>15467</v>
      </c>
    </row>
    <row r="542" spans="1:4" x14ac:dyDescent="0.25">
      <c r="A542" t="str">
        <f>T("   390730")</f>
        <v xml:space="preserve">   390730</v>
      </c>
      <c r="B542" t="str">
        <f>T("   Résines époxydes, sous formes primaires")</f>
        <v xml:space="preserve">   Résines époxydes, sous formes primaires</v>
      </c>
      <c r="C542">
        <v>1263379</v>
      </c>
      <c r="D542">
        <v>500</v>
      </c>
    </row>
    <row r="543" spans="1:4" x14ac:dyDescent="0.25">
      <c r="A543" t="str">
        <f>T("   390750")</f>
        <v xml:space="preserve">   390750</v>
      </c>
      <c r="B543" t="str">
        <f>T("   Résines alkydes, sous formes primaires")</f>
        <v xml:space="preserve">   Résines alkydes, sous formes primaires</v>
      </c>
      <c r="C543">
        <v>8055190</v>
      </c>
      <c r="D543">
        <v>4073</v>
      </c>
    </row>
    <row r="544" spans="1:4" x14ac:dyDescent="0.25">
      <c r="A544" t="str">
        <f>T("   390799")</f>
        <v xml:space="preserve">   390799</v>
      </c>
      <c r="B544"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44">
        <v>33819985</v>
      </c>
      <c r="D544">
        <v>26174</v>
      </c>
    </row>
    <row r="545" spans="1:4" x14ac:dyDescent="0.25">
      <c r="A545" t="str">
        <f>T("   390930")</f>
        <v xml:space="preserve">   390930</v>
      </c>
      <c r="B545"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545">
        <v>252363775</v>
      </c>
      <c r="D545">
        <v>445500</v>
      </c>
    </row>
    <row r="546" spans="1:4" x14ac:dyDescent="0.25">
      <c r="A546" t="str">
        <f>T("   391000")</f>
        <v xml:space="preserve">   391000</v>
      </c>
      <c r="B546" t="str">
        <f>T("   Silicones sous formes primaires")</f>
        <v xml:space="preserve">   Silicones sous formes primaires</v>
      </c>
      <c r="C546">
        <v>4145668</v>
      </c>
      <c r="D546">
        <v>1036</v>
      </c>
    </row>
    <row r="547" spans="1:4" x14ac:dyDescent="0.25">
      <c r="A547" t="str">
        <f>T("   391239")</f>
        <v xml:space="preserve">   391239</v>
      </c>
      <c r="B547" t="str">
        <f>T("   ÉTHERS DE CELLULOSE, SOUS FORMES PRIMAIRES (À L'EXCL. DE LA CARBOXYMÉTHYLCELLULOSE ET DE SES SELS)")</f>
        <v xml:space="preserve">   ÉTHERS DE CELLULOSE, SOUS FORMES PRIMAIRES (À L'EXCL. DE LA CARBOXYMÉTHYLCELLULOSE ET DE SES SELS)</v>
      </c>
      <c r="C547">
        <v>16123497</v>
      </c>
      <c r="D547">
        <v>5558</v>
      </c>
    </row>
    <row r="548" spans="1:4" x14ac:dyDescent="0.25">
      <c r="A548" t="str">
        <f>T("   391390")</f>
        <v xml:space="preserve">   391390</v>
      </c>
      <c r="B548" t="str">
        <f>T("   Polymères naturels et polymères naturels modifiés [protéines durcies, dérivés chimiques du caoutchouc naturel, par exemple], n.d.a., sous formes primaires (à l'excl. de l'acide alginique et de ses sels et esters)")</f>
        <v xml:space="preserve">   Polymères naturels et polymères naturels modifiés [protéines durcies, dérivés chimiques du caoutchouc naturel, par exemple], n.d.a., sous formes primaires (à l'excl. de l'acide alginique et de ses sels et esters)</v>
      </c>
      <c r="C548">
        <v>1480502</v>
      </c>
      <c r="D548">
        <v>315</v>
      </c>
    </row>
    <row r="549" spans="1:4" x14ac:dyDescent="0.25">
      <c r="A549" t="str">
        <f>T("   391710")</f>
        <v xml:space="preserve">   391710</v>
      </c>
      <c r="B549" t="str">
        <f>T("   Boyaux artificiels en protéines durcies ou en matières plastiques cellulosiques")</f>
        <v xml:space="preserve">   Boyaux artificiels en protéines durcies ou en matières plastiques cellulosiques</v>
      </c>
      <c r="C549">
        <v>30988</v>
      </c>
      <c r="D549">
        <v>1</v>
      </c>
    </row>
    <row r="550" spans="1:4" x14ac:dyDescent="0.25">
      <c r="A550" t="str">
        <f>T("   391721")</f>
        <v xml:space="preserve">   391721</v>
      </c>
      <c r="B550" t="str">
        <f>T("   TUBES ET TUYAUX RIGIDES, EN POLYMÈRES DE L'ÉTHYLÈNE")</f>
        <v xml:space="preserve">   TUBES ET TUYAUX RIGIDES, EN POLYMÈRES DE L'ÉTHYLÈNE</v>
      </c>
      <c r="C550">
        <v>78319</v>
      </c>
      <c r="D550">
        <v>1</v>
      </c>
    </row>
    <row r="551" spans="1:4" x14ac:dyDescent="0.25">
      <c r="A551" t="str">
        <f>T("   391731")</f>
        <v xml:space="preserve">   391731</v>
      </c>
      <c r="B551" t="str">
        <f>T("   Tubes et tuyaux souples, en matières plastiques, pouvant supporter une pression &gt;= 27,6 MPa, même munis d'accessoires")</f>
        <v xml:space="preserve">   Tubes et tuyaux souples, en matières plastiques, pouvant supporter une pression &gt;= 27,6 MPa, même munis d'accessoires</v>
      </c>
      <c r="C551">
        <v>8464508</v>
      </c>
      <c r="D551">
        <v>341</v>
      </c>
    </row>
    <row r="552" spans="1:4" x14ac:dyDescent="0.25">
      <c r="A552" t="str">
        <f>T("   391739")</f>
        <v xml:space="preserve">   391739</v>
      </c>
      <c r="B552"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52">
        <v>313549</v>
      </c>
      <c r="D552">
        <v>19</v>
      </c>
    </row>
    <row r="553" spans="1:4" x14ac:dyDescent="0.25">
      <c r="A553" t="str">
        <f>T("   391740")</f>
        <v xml:space="preserve">   391740</v>
      </c>
      <c r="B553" t="str">
        <f>T("   Accessoires pour tubes ou tuyaux [joints, coudes, raccords, par exemple], en matières plastiques")</f>
        <v xml:space="preserve">   Accessoires pour tubes ou tuyaux [joints, coudes, raccords, par exemple], en matières plastiques</v>
      </c>
      <c r="C553">
        <v>63744625</v>
      </c>
      <c r="D553">
        <v>21623</v>
      </c>
    </row>
    <row r="554" spans="1:4" x14ac:dyDescent="0.25">
      <c r="A554" t="str">
        <f>T("   391890")</f>
        <v xml:space="preserve">   391890</v>
      </c>
      <c r="B554" t="s">
        <v>138</v>
      </c>
      <c r="C554">
        <v>2215295</v>
      </c>
      <c r="D554">
        <v>3209</v>
      </c>
    </row>
    <row r="555" spans="1:4" x14ac:dyDescent="0.25">
      <c r="A555" t="str">
        <f>T("   391990")</f>
        <v xml:space="preserve">   391990</v>
      </c>
      <c r="B555" t="s">
        <v>139</v>
      </c>
      <c r="C555">
        <v>555598</v>
      </c>
      <c r="D555">
        <v>50</v>
      </c>
    </row>
    <row r="556" spans="1:4" x14ac:dyDescent="0.25">
      <c r="A556" t="str">
        <f>T("   392010")</f>
        <v xml:space="preserve">   392010</v>
      </c>
      <c r="B556" t="s">
        <v>140</v>
      </c>
      <c r="C556">
        <v>1525763</v>
      </c>
      <c r="D556">
        <v>600</v>
      </c>
    </row>
    <row r="557" spans="1:4" x14ac:dyDescent="0.25">
      <c r="A557" t="str">
        <f>T("   392079")</f>
        <v xml:space="preserve">   392079</v>
      </c>
      <c r="B557" t="s">
        <v>148</v>
      </c>
      <c r="C557">
        <v>2984152</v>
      </c>
      <c r="D557">
        <v>9</v>
      </c>
    </row>
    <row r="558" spans="1:4" x14ac:dyDescent="0.25">
      <c r="A558" t="str">
        <f>T("   392329")</f>
        <v xml:space="preserve">   392329</v>
      </c>
      <c r="B558" t="str">
        <f>T("   Sacs, sachets, pochettes et cornets, en matières plastiques (autres que les polymères de l'éthylène)")</f>
        <v xml:space="preserve">   Sacs, sachets, pochettes et cornets, en matières plastiques (autres que les polymères de l'éthylène)</v>
      </c>
      <c r="C558">
        <v>1096175</v>
      </c>
      <c r="D558">
        <v>262</v>
      </c>
    </row>
    <row r="559" spans="1:4" x14ac:dyDescent="0.25">
      <c r="A559" t="str">
        <f>T("   392330")</f>
        <v xml:space="preserve">   392330</v>
      </c>
      <c r="B559" t="str">
        <f>T("   Bonbonnes, bouteilles, flacons et articles simil. pour le transport ou l'emballage, en matières plastiques")</f>
        <v xml:space="preserve">   Bonbonnes, bouteilles, flacons et articles simil. pour le transport ou l'emballage, en matières plastiques</v>
      </c>
      <c r="C559">
        <v>14463422</v>
      </c>
      <c r="D559">
        <v>11741</v>
      </c>
    </row>
    <row r="560" spans="1:4" x14ac:dyDescent="0.25">
      <c r="A560" t="str">
        <f>T("   392350")</f>
        <v xml:space="preserve">   392350</v>
      </c>
      <c r="B560" t="str">
        <f>T("   Bouchons, couvercles, capsules et autres dispositifs de fermeture, en matières plastiques")</f>
        <v xml:space="preserve">   Bouchons, couvercles, capsules et autres dispositifs de fermeture, en matières plastiques</v>
      </c>
      <c r="C560">
        <v>9098948</v>
      </c>
      <c r="D560">
        <v>2366</v>
      </c>
    </row>
    <row r="561" spans="1:4" x14ac:dyDescent="0.25">
      <c r="A561" t="str">
        <f>T("   392390")</f>
        <v xml:space="preserve">   392390</v>
      </c>
      <c r="B561" t="s">
        <v>156</v>
      </c>
      <c r="C561">
        <v>4700000</v>
      </c>
      <c r="D561">
        <v>1938</v>
      </c>
    </row>
    <row r="562" spans="1:4" x14ac:dyDescent="0.25">
      <c r="A562" t="str">
        <f>T("   392410")</f>
        <v xml:space="preserve">   392410</v>
      </c>
      <c r="B562" t="str">
        <f>T("   Vaisselle et autres articles pour le service de la table ou de la cuisine, en matières plastiques")</f>
        <v xml:space="preserve">   Vaisselle et autres articles pour le service de la table ou de la cuisine, en matières plastiques</v>
      </c>
      <c r="C562">
        <v>1685162</v>
      </c>
      <c r="D562">
        <v>2850</v>
      </c>
    </row>
    <row r="563" spans="1:4" x14ac:dyDescent="0.25">
      <c r="A563" t="str">
        <f>T("   392490")</f>
        <v xml:space="preserve">   392490</v>
      </c>
      <c r="B563" t="s">
        <v>157</v>
      </c>
      <c r="C563">
        <v>5254841</v>
      </c>
      <c r="D563">
        <v>2469</v>
      </c>
    </row>
    <row r="564" spans="1:4" x14ac:dyDescent="0.25">
      <c r="A564" t="str">
        <f>T("   392510")</f>
        <v xml:space="preserve">   392510</v>
      </c>
      <c r="B564" t="str">
        <f>T("   Réservoirs, foudres, cuves et récipients analogues, en matières plastiques, d'une contenance &gt; 300 l")</f>
        <v xml:space="preserve">   Réservoirs, foudres, cuves et récipients analogues, en matières plastiques, d'une contenance &gt; 300 l</v>
      </c>
      <c r="C564">
        <v>16929015</v>
      </c>
      <c r="D564">
        <v>682</v>
      </c>
    </row>
    <row r="565" spans="1:4" x14ac:dyDescent="0.25">
      <c r="A565" t="str">
        <f>T("   392530")</f>
        <v xml:space="preserve">   392530</v>
      </c>
      <c r="B565" t="str">
        <f>T("   Volets, stores, y.c. les stores vénitiens, et articles simil., et leurs parties, en matières plastiques (à l'excl. des accessoires et garnitures)")</f>
        <v xml:space="preserve">   Volets, stores, y.c. les stores vénitiens, et articles simil., et leurs parties, en matières plastiques (à l'excl. des accessoires et garnitures)</v>
      </c>
      <c r="C565">
        <v>4281018</v>
      </c>
      <c r="D565">
        <v>700</v>
      </c>
    </row>
    <row r="566" spans="1:4" x14ac:dyDescent="0.25">
      <c r="A566" t="str">
        <f>T("   392610")</f>
        <v xml:space="preserve">   392610</v>
      </c>
      <c r="B566" t="str">
        <f>T("   Articles de bureau et articles scolaires, en matières plastiques, n.d.a.")</f>
        <v xml:space="preserve">   Articles de bureau et articles scolaires, en matières plastiques, n.d.a.</v>
      </c>
      <c r="C566">
        <v>465120</v>
      </c>
      <c r="D566">
        <v>378</v>
      </c>
    </row>
    <row r="567" spans="1:4" x14ac:dyDescent="0.25">
      <c r="A567" t="str">
        <f>T("   392690")</f>
        <v xml:space="preserve">   392690</v>
      </c>
      <c r="B567" t="str">
        <f>T("   Ouvrages en matières plastiques et ouvrages en autres matières du n° 3901 à 3914, n.d.a.")</f>
        <v xml:space="preserve">   Ouvrages en matières plastiques et ouvrages en autres matières du n° 3901 à 3914, n.d.a.</v>
      </c>
      <c r="C567">
        <v>6391228</v>
      </c>
      <c r="D567">
        <v>8545</v>
      </c>
    </row>
    <row r="568" spans="1:4" x14ac:dyDescent="0.25">
      <c r="A568" t="str">
        <f>T("   400911")</f>
        <v xml:space="preserve">   400911</v>
      </c>
      <c r="B56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568">
        <v>6851672</v>
      </c>
      <c r="D568">
        <v>373.6</v>
      </c>
    </row>
    <row r="569" spans="1:4" x14ac:dyDescent="0.25">
      <c r="A569" t="str">
        <f>T("   400922")</f>
        <v xml:space="preserve">   400922</v>
      </c>
      <c r="B569"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569">
        <v>6527629</v>
      </c>
      <c r="D569">
        <v>1553.64</v>
      </c>
    </row>
    <row r="570" spans="1:4" x14ac:dyDescent="0.25">
      <c r="A570" t="str">
        <f>T("   400942")</f>
        <v xml:space="preserve">   400942</v>
      </c>
      <c r="B570" t="s">
        <v>163</v>
      </c>
      <c r="C570">
        <v>33001</v>
      </c>
      <c r="D570">
        <v>3</v>
      </c>
    </row>
    <row r="571" spans="1:4" x14ac:dyDescent="0.25">
      <c r="A571" t="str">
        <f>T("   401012")</f>
        <v xml:space="preserve">   401012</v>
      </c>
      <c r="B571" t="str">
        <f>T("   Courroies transporteuses, en caoutchouc vulcanisé, renforcées seulement de matières textiles")</f>
        <v xml:space="preserve">   Courroies transporteuses, en caoutchouc vulcanisé, renforcées seulement de matières textiles</v>
      </c>
      <c r="C571">
        <v>9117845</v>
      </c>
      <c r="D571">
        <v>1610</v>
      </c>
    </row>
    <row r="572" spans="1:4" x14ac:dyDescent="0.25">
      <c r="A572" t="str">
        <f>T("   401039")</f>
        <v xml:space="preserve">   401039</v>
      </c>
      <c r="B572" t="s">
        <v>164</v>
      </c>
      <c r="C572">
        <v>2303602</v>
      </c>
      <c r="D572">
        <v>124</v>
      </c>
    </row>
    <row r="573" spans="1:4" x14ac:dyDescent="0.25">
      <c r="A573" t="str">
        <f>T("   401110")</f>
        <v xml:space="preserve">   401110</v>
      </c>
      <c r="B57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573">
        <v>9325761</v>
      </c>
      <c r="D573">
        <v>1930</v>
      </c>
    </row>
    <row r="574" spans="1:4" x14ac:dyDescent="0.25">
      <c r="A574" t="str">
        <f>T("   401120")</f>
        <v xml:space="preserve">   401120</v>
      </c>
      <c r="B57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574">
        <v>1890042</v>
      </c>
      <c r="D574">
        <v>1133</v>
      </c>
    </row>
    <row r="575" spans="1:4" x14ac:dyDescent="0.25">
      <c r="A575" t="str">
        <f>T("   401199")</f>
        <v xml:space="preserve">   401199</v>
      </c>
      <c r="B575" t="s">
        <v>165</v>
      </c>
      <c r="C575">
        <v>14302797</v>
      </c>
      <c r="D575">
        <v>3366</v>
      </c>
    </row>
    <row r="576" spans="1:4" x14ac:dyDescent="0.25">
      <c r="A576" t="str">
        <f>T("   401211")</f>
        <v xml:space="preserve">   401211</v>
      </c>
      <c r="B57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576">
        <v>27117000</v>
      </c>
      <c r="D576">
        <v>79550</v>
      </c>
    </row>
    <row r="577" spans="1:4" x14ac:dyDescent="0.25">
      <c r="A577" t="str">
        <f>T("   401212")</f>
        <v xml:space="preserve">   401212</v>
      </c>
      <c r="B577" t="str">
        <f>T("   Pneumatiques rechapés, en caoutchouc, des types utilisés pour les autobus ou camions")</f>
        <v xml:space="preserve">   Pneumatiques rechapés, en caoutchouc, des types utilisés pour les autobus ou camions</v>
      </c>
      <c r="C577">
        <v>14081282</v>
      </c>
      <c r="D577">
        <v>42125</v>
      </c>
    </row>
    <row r="578" spans="1:4" x14ac:dyDescent="0.25">
      <c r="A578" t="str">
        <f>T("   401219")</f>
        <v xml:space="preserve">   401219</v>
      </c>
      <c r="B578"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578">
        <v>6667834</v>
      </c>
      <c r="D578">
        <v>18500</v>
      </c>
    </row>
    <row r="579" spans="1:4" x14ac:dyDescent="0.25">
      <c r="A579" t="str">
        <f>T("   401220")</f>
        <v xml:space="preserve">   401220</v>
      </c>
      <c r="B579" t="str">
        <f>T("   Pneumatiques usagés, en caoutchouc")</f>
        <v xml:space="preserve">   Pneumatiques usagés, en caoutchouc</v>
      </c>
      <c r="C579">
        <v>515867689</v>
      </c>
      <c r="D579">
        <v>1479547</v>
      </c>
    </row>
    <row r="580" spans="1:4" x14ac:dyDescent="0.25">
      <c r="A580" t="str">
        <f>T("   401310")</f>
        <v xml:space="preserve">   401310</v>
      </c>
      <c r="B580"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580">
        <v>11880351</v>
      </c>
      <c r="D580">
        <v>110140</v>
      </c>
    </row>
    <row r="581" spans="1:4" x14ac:dyDescent="0.25">
      <c r="A581" t="str">
        <f>T("   401390")</f>
        <v xml:space="preserve">   401390</v>
      </c>
      <c r="B581"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81">
        <v>13188357</v>
      </c>
      <c r="D581">
        <v>138662</v>
      </c>
    </row>
    <row r="582" spans="1:4" x14ac:dyDescent="0.25">
      <c r="A582" t="str">
        <f>T("   401511")</f>
        <v xml:space="preserve">   401511</v>
      </c>
      <c r="B582" t="str">
        <f>T("   Gants en caoutchouc vulcanisé non durci, pour la chirurgie")</f>
        <v xml:space="preserve">   Gants en caoutchouc vulcanisé non durci, pour la chirurgie</v>
      </c>
      <c r="C582">
        <v>775268</v>
      </c>
      <c r="D582">
        <v>10</v>
      </c>
    </row>
    <row r="583" spans="1:4" x14ac:dyDescent="0.25">
      <c r="A583" t="str">
        <f>T("   401693")</f>
        <v xml:space="preserve">   401693</v>
      </c>
      <c r="B583" t="str">
        <f>T("   Joints en caoutchouc vulcanisé non durci (à l'excl. des articles en caoutchouc alvéolaire)")</f>
        <v xml:space="preserve">   Joints en caoutchouc vulcanisé non durci (à l'excl. des articles en caoutchouc alvéolaire)</v>
      </c>
      <c r="C583">
        <v>2240197</v>
      </c>
      <c r="D583">
        <v>6.9</v>
      </c>
    </row>
    <row r="584" spans="1:4" x14ac:dyDescent="0.25">
      <c r="A584" t="str">
        <f>T("   401694")</f>
        <v xml:space="preserve">   401694</v>
      </c>
      <c r="B584" t="str">
        <f>T("   Pare-chocs, même gonflables, pour l'accostage des bateaux, en caoutchouc vulcanisé non durci (à l'excl. des produits en caoutchouc alvéolaire)")</f>
        <v xml:space="preserve">   Pare-chocs, même gonflables, pour l'accostage des bateaux, en caoutchouc vulcanisé non durci (à l'excl. des produits en caoutchouc alvéolaire)</v>
      </c>
      <c r="C584">
        <v>552318</v>
      </c>
      <c r="D584">
        <v>170</v>
      </c>
    </row>
    <row r="585" spans="1:4" x14ac:dyDescent="0.25">
      <c r="A585" t="str">
        <f>T("   401699")</f>
        <v xml:space="preserve">   401699</v>
      </c>
      <c r="B585" t="str">
        <f>T("   OUVRAGES EN CAOUTCHOUC VULCANISÉ NON-DURCI, N.D.A.")</f>
        <v xml:space="preserve">   OUVRAGES EN CAOUTCHOUC VULCANISÉ NON-DURCI, N.D.A.</v>
      </c>
      <c r="C585">
        <v>941329</v>
      </c>
      <c r="D585">
        <v>504</v>
      </c>
    </row>
    <row r="586" spans="1:4" x14ac:dyDescent="0.25">
      <c r="A586" t="str">
        <f>T("   420219")</f>
        <v xml:space="preserve">   420219</v>
      </c>
      <c r="B586" t="s">
        <v>171</v>
      </c>
      <c r="C586">
        <v>60000</v>
      </c>
      <c r="D586">
        <v>40</v>
      </c>
    </row>
    <row r="587" spans="1:4" x14ac:dyDescent="0.25">
      <c r="A587" t="str">
        <f>T("   420229")</f>
        <v xml:space="preserve">   420229</v>
      </c>
      <c r="B58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87">
        <v>579878</v>
      </c>
      <c r="D587">
        <v>752</v>
      </c>
    </row>
    <row r="588" spans="1:4" x14ac:dyDescent="0.25">
      <c r="A588" t="str">
        <f>T("   420299")</f>
        <v xml:space="preserve">   420299</v>
      </c>
      <c r="B588" t="s">
        <v>174</v>
      </c>
      <c r="C588">
        <v>4573833</v>
      </c>
      <c r="D588">
        <v>10</v>
      </c>
    </row>
    <row r="589" spans="1:4" x14ac:dyDescent="0.25">
      <c r="A589" t="str">
        <f>T("   420500")</f>
        <v xml:space="preserve">   420500</v>
      </c>
      <c r="B589" t="s">
        <v>176</v>
      </c>
      <c r="C589">
        <v>98394</v>
      </c>
      <c r="D589">
        <v>15</v>
      </c>
    </row>
    <row r="590" spans="1:4" x14ac:dyDescent="0.25">
      <c r="A590" t="str">
        <f>T("   441400")</f>
        <v xml:space="preserve">   441400</v>
      </c>
      <c r="B590" t="str">
        <f>T("   Cadres en bois pour tableaux, photographies, miroirs ou objets simil.")</f>
        <v xml:space="preserve">   Cadres en bois pour tableaux, photographies, miroirs ou objets simil.</v>
      </c>
      <c r="C590">
        <v>75422</v>
      </c>
      <c r="D590">
        <v>16</v>
      </c>
    </row>
    <row r="591" spans="1:4" x14ac:dyDescent="0.25">
      <c r="A591" t="str">
        <f>T("   441820")</f>
        <v xml:space="preserve">   441820</v>
      </c>
      <c r="B591" t="str">
        <f>T("   Portes et leurs cadres, chambranles et seuils, en bois")</f>
        <v xml:space="preserve">   Portes et leurs cadres, chambranles et seuils, en bois</v>
      </c>
      <c r="C591">
        <v>160000</v>
      </c>
      <c r="D591">
        <v>200</v>
      </c>
    </row>
    <row r="592" spans="1:4" x14ac:dyDescent="0.25">
      <c r="A592" t="str">
        <f>T("   441890")</f>
        <v xml:space="preserve">   441890</v>
      </c>
      <c r="B592" t="s">
        <v>200</v>
      </c>
      <c r="C592">
        <v>1686000</v>
      </c>
      <c r="D592">
        <v>4200</v>
      </c>
    </row>
    <row r="593" spans="1:4" x14ac:dyDescent="0.25">
      <c r="A593" t="str">
        <f>T("   480255")</f>
        <v xml:space="preserve">   480255</v>
      </c>
      <c r="B593" t="s">
        <v>206</v>
      </c>
      <c r="C593">
        <v>46312744</v>
      </c>
      <c r="D593">
        <v>87516</v>
      </c>
    </row>
    <row r="594" spans="1:4" x14ac:dyDescent="0.25">
      <c r="A594" t="str">
        <f>T("   480257")</f>
        <v xml:space="preserve">   480257</v>
      </c>
      <c r="B594" t="s">
        <v>208</v>
      </c>
      <c r="C594">
        <v>30408555</v>
      </c>
      <c r="D594">
        <v>39705</v>
      </c>
    </row>
    <row r="595" spans="1:4" x14ac:dyDescent="0.25">
      <c r="A595" t="str">
        <f>T("   480920")</f>
        <v xml:space="preserve">   480920</v>
      </c>
      <c r="B595"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595">
        <v>36378989</v>
      </c>
      <c r="D595">
        <v>38894</v>
      </c>
    </row>
    <row r="596" spans="1:4" x14ac:dyDescent="0.25">
      <c r="A596" t="str">
        <f>T("   481029")</f>
        <v xml:space="preserve">   481029</v>
      </c>
      <c r="B596" t="s">
        <v>222</v>
      </c>
      <c r="C596">
        <v>104059332</v>
      </c>
      <c r="D596">
        <v>195042</v>
      </c>
    </row>
    <row r="597" spans="1:4" x14ac:dyDescent="0.25">
      <c r="A597" t="str">
        <f>T("   481149")</f>
        <v xml:space="preserve">   481149</v>
      </c>
      <c r="B597"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597">
        <v>110706</v>
      </c>
      <c r="D597">
        <v>44</v>
      </c>
    </row>
    <row r="598" spans="1:4" x14ac:dyDescent="0.25">
      <c r="A598" t="str">
        <f>T("   481200")</f>
        <v xml:space="preserve">   481200</v>
      </c>
      <c r="B598" t="str">
        <f>T("   Blocs filtrants et plaques filtrantes, en pâte à papier")</f>
        <v xml:space="preserve">   Blocs filtrants et plaques filtrantes, en pâte à papier</v>
      </c>
      <c r="C598">
        <v>2566771</v>
      </c>
      <c r="D598">
        <v>1333</v>
      </c>
    </row>
    <row r="599" spans="1:4" x14ac:dyDescent="0.25">
      <c r="A599" t="str">
        <f>T("   481620")</f>
        <v xml:space="preserve">   481620</v>
      </c>
      <c r="B599" t="s">
        <v>230</v>
      </c>
      <c r="C599">
        <v>22433334</v>
      </c>
      <c r="D599">
        <v>23862</v>
      </c>
    </row>
    <row r="600" spans="1:4" x14ac:dyDescent="0.25">
      <c r="A600" t="str">
        <f>T("   481710")</f>
        <v xml:space="preserve">   481710</v>
      </c>
      <c r="B600" t="str">
        <f>T("   Enveloppes, en papier ou en carton")</f>
        <v xml:space="preserve">   Enveloppes, en papier ou en carton</v>
      </c>
      <c r="C600">
        <v>231961</v>
      </c>
      <c r="D600">
        <v>93</v>
      </c>
    </row>
    <row r="601" spans="1:4" x14ac:dyDescent="0.25">
      <c r="A601" t="str">
        <f>T("   481810")</f>
        <v xml:space="preserve">   481810</v>
      </c>
      <c r="B601" t="str">
        <f>T("   Papier hygiénique, en rouleaux d'une largeur &lt;= 36 cm")</f>
        <v xml:space="preserve">   Papier hygiénique, en rouleaux d'une largeur &lt;= 36 cm</v>
      </c>
      <c r="C601">
        <v>4420456</v>
      </c>
      <c r="D601">
        <v>7052</v>
      </c>
    </row>
    <row r="602" spans="1:4" x14ac:dyDescent="0.25">
      <c r="A602" t="str">
        <f>T("   481820")</f>
        <v xml:space="preserve">   481820</v>
      </c>
      <c r="B60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02">
        <v>1262805</v>
      </c>
      <c r="D602">
        <v>1382</v>
      </c>
    </row>
    <row r="603" spans="1:4" x14ac:dyDescent="0.25">
      <c r="A603" t="str">
        <f>T("   481840")</f>
        <v xml:space="preserve">   481840</v>
      </c>
      <c r="B603"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03">
        <v>262384</v>
      </c>
      <c r="D603">
        <v>2658</v>
      </c>
    </row>
    <row r="604" spans="1:4" x14ac:dyDescent="0.25">
      <c r="A604" t="str">
        <f>T("   482010")</f>
        <v xml:space="preserve">   482010</v>
      </c>
      <c r="B604"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04">
        <v>3769461</v>
      </c>
      <c r="D604">
        <v>1483</v>
      </c>
    </row>
    <row r="605" spans="1:4" x14ac:dyDescent="0.25">
      <c r="A605" t="str">
        <f>T("   482090")</f>
        <v xml:space="preserve">   482090</v>
      </c>
      <c r="B605" t="s">
        <v>234</v>
      </c>
      <c r="C605">
        <v>96709</v>
      </c>
      <c r="D605">
        <v>1230</v>
      </c>
    </row>
    <row r="606" spans="1:4" x14ac:dyDescent="0.25">
      <c r="A606" t="str">
        <f>T("   482110")</f>
        <v xml:space="preserve">   482110</v>
      </c>
      <c r="B606" t="str">
        <f>T("   ÉTIQUETTES DE TOUS GENRES, EN PAPIER OU EN CARTON, IMPRIMÉES")</f>
        <v xml:space="preserve">   ÉTIQUETTES DE TOUS GENRES, EN PAPIER OU EN CARTON, IMPRIMÉES</v>
      </c>
      <c r="C606">
        <v>35331480</v>
      </c>
      <c r="D606">
        <v>9511</v>
      </c>
    </row>
    <row r="607" spans="1:4" x14ac:dyDescent="0.25">
      <c r="A607" t="str">
        <f>T("   482190")</f>
        <v xml:space="preserve">   482190</v>
      </c>
      <c r="B607" t="str">
        <f>T("   ÉTIQUETTES DE TOUS GENRES, EN PAPIER OU EN CARTON, NON-IMPRIMÉES")</f>
        <v xml:space="preserve">   ÉTIQUETTES DE TOUS GENRES, EN PAPIER OU EN CARTON, NON-IMPRIMÉES</v>
      </c>
      <c r="C607">
        <v>61168</v>
      </c>
      <c r="D607">
        <v>12</v>
      </c>
    </row>
    <row r="608" spans="1:4" x14ac:dyDescent="0.25">
      <c r="A608" t="str">
        <f>T("   482340")</f>
        <v xml:space="preserve">   482340</v>
      </c>
      <c r="B608"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608">
        <v>311937796</v>
      </c>
      <c r="D608">
        <v>599501</v>
      </c>
    </row>
    <row r="609" spans="1:4" x14ac:dyDescent="0.25">
      <c r="A609" t="str">
        <f>T("   490110")</f>
        <v xml:space="preserve">   490110</v>
      </c>
      <c r="B609"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609">
        <v>170000</v>
      </c>
      <c r="D609">
        <v>1000</v>
      </c>
    </row>
    <row r="610" spans="1:4" x14ac:dyDescent="0.25">
      <c r="A610" t="str">
        <f>T("   490199")</f>
        <v xml:space="preserve">   490199</v>
      </c>
      <c r="B61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10">
        <v>11030995</v>
      </c>
      <c r="D610">
        <v>11242</v>
      </c>
    </row>
    <row r="611" spans="1:4" x14ac:dyDescent="0.25">
      <c r="A611" t="str">
        <f>T("   491000")</f>
        <v xml:space="preserve">   491000</v>
      </c>
      <c r="B611" t="str">
        <f>T("   Calendriers de tous genres, imprimés, y.c. les blocs de calendriers à effeuiller")</f>
        <v xml:space="preserve">   Calendriers de tous genres, imprimés, y.c. les blocs de calendriers à effeuiller</v>
      </c>
      <c r="C611">
        <v>1436620</v>
      </c>
      <c r="D611">
        <v>278</v>
      </c>
    </row>
    <row r="612" spans="1:4" x14ac:dyDescent="0.25">
      <c r="A612" t="str">
        <f>T("   491110")</f>
        <v xml:space="preserve">   491110</v>
      </c>
      <c r="B612" t="str">
        <f>T("   Imprimés publicitaires, catalogues commerciaux et simil.")</f>
        <v xml:space="preserve">   Imprimés publicitaires, catalogues commerciaux et simil.</v>
      </c>
      <c r="C612">
        <v>1014660</v>
      </c>
      <c r="D612">
        <v>978</v>
      </c>
    </row>
    <row r="613" spans="1:4" x14ac:dyDescent="0.25">
      <c r="A613" t="str">
        <f>T("   491191")</f>
        <v xml:space="preserve">   491191</v>
      </c>
      <c r="B613" t="str">
        <f>T("   Images, gravures et photographies, n.d.a.")</f>
        <v xml:space="preserve">   Images, gravures et photographies, n.d.a.</v>
      </c>
      <c r="C613">
        <v>253201</v>
      </c>
      <c r="D613">
        <v>765</v>
      </c>
    </row>
    <row r="614" spans="1:4" x14ac:dyDescent="0.25">
      <c r="A614" t="str">
        <f>T("   520839")</f>
        <v xml:space="preserve">   520839</v>
      </c>
      <c r="B614"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614">
        <v>49790</v>
      </c>
      <c r="D614">
        <v>18</v>
      </c>
    </row>
    <row r="615" spans="1:4" x14ac:dyDescent="0.25">
      <c r="A615" t="str">
        <f>T("   520852")</f>
        <v xml:space="preserve">   520852</v>
      </c>
      <c r="B615" t="str">
        <f>T("   Tissus de coton, imprimés, à armure toile, contenant &gt;= 85% en poids de coton, d'un poids &gt; 100 g/m² mais &lt;= 200 g/m²")</f>
        <v xml:space="preserve">   Tissus de coton, imprimés, à armure toile, contenant &gt;= 85% en poids de coton, d'un poids &gt; 100 g/m² mais &lt;= 200 g/m²</v>
      </c>
      <c r="C615">
        <v>2000000</v>
      </c>
      <c r="D615">
        <v>2250</v>
      </c>
    </row>
    <row r="616" spans="1:4" x14ac:dyDescent="0.25">
      <c r="A616" t="str">
        <f>T("   520859")</f>
        <v xml:space="preserve">   520859</v>
      </c>
      <c r="B616" t="str">
        <f>T("   TISSUS DE COTON, IMPRIMÉS, CONTENANT &gt;= 85% EN POIDS DE COTON, D'UN POIDS &lt;= 200 G/M² (À L'EXCL. DES TISSUS À ARMURE TOILE)")</f>
        <v xml:space="preserve">   TISSUS DE COTON, IMPRIMÉS, CONTENANT &gt;= 85% EN POIDS DE COTON, D'UN POIDS &lt;= 200 G/M² (À L'EXCL. DES TISSUS À ARMURE TOILE)</v>
      </c>
      <c r="C616">
        <v>5818358</v>
      </c>
      <c r="D616">
        <v>3660</v>
      </c>
    </row>
    <row r="617" spans="1:4" x14ac:dyDescent="0.25">
      <c r="A617" t="str">
        <f>T("   530310")</f>
        <v xml:space="preserve">   530310</v>
      </c>
      <c r="B617" t="str">
        <f>T("   Jute et autres fibres textiles libériennes, bruts ou rouis (à l'excl. du lin, du chanvre et de la ramie)")</f>
        <v xml:space="preserve">   Jute et autres fibres textiles libériennes, bruts ou rouis (à l'excl. du lin, du chanvre et de la ramie)</v>
      </c>
      <c r="C617">
        <v>12126897</v>
      </c>
      <c r="D617">
        <v>13350</v>
      </c>
    </row>
    <row r="618" spans="1:4" x14ac:dyDescent="0.25">
      <c r="A618" t="str">
        <f>T("   551349")</f>
        <v xml:space="preserve">   551349</v>
      </c>
      <c r="B618"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618">
        <v>59030</v>
      </c>
      <c r="D618">
        <v>125</v>
      </c>
    </row>
    <row r="619" spans="1:4" x14ac:dyDescent="0.25">
      <c r="A619" t="str">
        <f>T("   551613")</f>
        <v xml:space="preserve">   551613</v>
      </c>
      <c r="B619" t="str">
        <f>T("   Tissus, en fils de diverses couleurs, de fibres artificielles discontinues, contenant &gt;= 85% en poids de ces fibres")</f>
        <v xml:space="preserve">   Tissus, en fils de diverses couleurs, de fibres artificielles discontinues, contenant &gt;= 85% en poids de ces fibres</v>
      </c>
      <c r="C619">
        <v>2032164</v>
      </c>
      <c r="D619">
        <v>924</v>
      </c>
    </row>
    <row r="620" spans="1:4" x14ac:dyDescent="0.25">
      <c r="A620" t="str">
        <f>T("   570390")</f>
        <v xml:space="preserve">   570390</v>
      </c>
      <c r="B620"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620">
        <v>4272268</v>
      </c>
      <c r="D620">
        <v>8572</v>
      </c>
    </row>
    <row r="621" spans="1:4" x14ac:dyDescent="0.25">
      <c r="A621" t="str">
        <f>T("   570490")</f>
        <v xml:space="preserve">   570490</v>
      </c>
      <c r="B621"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621">
        <v>1594639</v>
      </c>
      <c r="D621">
        <v>5490</v>
      </c>
    </row>
    <row r="622" spans="1:4" x14ac:dyDescent="0.25">
      <c r="A622" t="str">
        <f>T("   570500")</f>
        <v xml:space="preserve">   570500</v>
      </c>
      <c r="B622"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22">
        <v>10448136</v>
      </c>
      <c r="D622">
        <v>40073</v>
      </c>
    </row>
    <row r="623" spans="1:4" x14ac:dyDescent="0.25">
      <c r="A623" t="str">
        <f>T("   591132")</f>
        <v xml:space="preserve">   591132</v>
      </c>
      <c r="B623"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623">
        <v>1638201</v>
      </c>
      <c r="D623">
        <v>357</v>
      </c>
    </row>
    <row r="624" spans="1:4" x14ac:dyDescent="0.25">
      <c r="A624" t="str">
        <f>T("   610690")</f>
        <v xml:space="preserve">   610690</v>
      </c>
      <c r="B624"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624">
        <v>430000</v>
      </c>
      <c r="D624">
        <v>3056</v>
      </c>
    </row>
    <row r="625" spans="1:4" x14ac:dyDescent="0.25">
      <c r="A625" t="str">
        <f>T("   610910")</f>
        <v xml:space="preserve">   610910</v>
      </c>
      <c r="B625" t="str">
        <f>T("   T-shirts et maillots de corps, en bonneterie, de coton,")</f>
        <v xml:space="preserve">   T-shirts et maillots de corps, en bonneterie, de coton,</v>
      </c>
      <c r="C625">
        <v>2333774</v>
      </c>
      <c r="D625">
        <v>1095</v>
      </c>
    </row>
    <row r="626" spans="1:4" x14ac:dyDescent="0.25">
      <c r="A626" t="str">
        <f>T("   610990")</f>
        <v xml:space="preserve">   610990</v>
      </c>
      <c r="B626" t="str">
        <f>T("   T-shirts et maillots de corps, en bonneterie, de matières textiles (sauf de coton)")</f>
        <v xml:space="preserve">   T-shirts et maillots de corps, en bonneterie, de matières textiles (sauf de coton)</v>
      </c>
      <c r="C626">
        <v>3693381</v>
      </c>
      <c r="D626">
        <v>659</v>
      </c>
    </row>
    <row r="627" spans="1:4" x14ac:dyDescent="0.25">
      <c r="A627" t="str">
        <f>T("   611030")</f>
        <v xml:space="preserve">   611030</v>
      </c>
      <c r="B627" t="str">
        <f>T("   Chandails, pull-overs, cardigans, gilets et articles simil., y.c. les sous-pulls, en bonneterie, de fibres synthétiques ou artificielles (sauf gilets ouatinés)")</f>
        <v xml:space="preserve">   Chandails, pull-overs, cardigans, gilets et articles simil., y.c. les sous-pulls, en bonneterie, de fibres synthétiques ou artificielles (sauf gilets ouatinés)</v>
      </c>
      <c r="C627">
        <v>957183</v>
      </c>
      <c r="D627">
        <v>719</v>
      </c>
    </row>
    <row r="628" spans="1:4" x14ac:dyDescent="0.25">
      <c r="A628" t="str">
        <f>T("   611599")</f>
        <v xml:space="preserve">   611599</v>
      </c>
      <c r="B628" t="s">
        <v>284</v>
      </c>
      <c r="C628">
        <v>45596434</v>
      </c>
      <c r="D628">
        <v>207504</v>
      </c>
    </row>
    <row r="629" spans="1:4" x14ac:dyDescent="0.25">
      <c r="A629" t="str">
        <f>T("   620299")</f>
        <v xml:space="preserve">   620299</v>
      </c>
      <c r="B629" t="s">
        <v>287</v>
      </c>
      <c r="C629">
        <v>800000</v>
      </c>
      <c r="D629">
        <v>906</v>
      </c>
    </row>
    <row r="630" spans="1:4" x14ac:dyDescent="0.25">
      <c r="A630" t="str">
        <f>T("   620319")</f>
        <v xml:space="preserve">   620319</v>
      </c>
      <c r="B630" t="s">
        <v>288</v>
      </c>
      <c r="C630">
        <v>67091</v>
      </c>
      <c r="D630">
        <v>18</v>
      </c>
    </row>
    <row r="631" spans="1:4" x14ac:dyDescent="0.25">
      <c r="A631" t="str">
        <f>T("   620349")</f>
        <v xml:space="preserve">   620349</v>
      </c>
      <c r="B631" t="s">
        <v>289</v>
      </c>
      <c r="C631">
        <v>800000</v>
      </c>
      <c r="D631">
        <v>199</v>
      </c>
    </row>
    <row r="632" spans="1:4" x14ac:dyDescent="0.25">
      <c r="A632" t="str">
        <f>T("   620590")</f>
        <v xml:space="preserve">   620590</v>
      </c>
      <c r="B63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32">
        <v>12945863</v>
      </c>
      <c r="D632">
        <v>25936</v>
      </c>
    </row>
    <row r="633" spans="1:4" x14ac:dyDescent="0.25">
      <c r="A633" t="str">
        <f>T("   621030")</f>
        <v xml:space="preserve">   621030</v>
      </c>
      <c r="B633"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633">
        <v>32000</v>
      </c>
      <c r="D633">
        <v>160</v>
      </c>
    </row>
    <row r="634" spans="1:4" x14ac:dyDescent="0.25">
      <c r="A634" t="str">
        <f>T("   621040")</f>
        <v xml:space="preserve">   621040</v>
      </c>
      <c r="B634" t="s">
        <v>294</v>
      </c>
      <c r="C634">
        <v>32379125</v>
      </c>
      <c r="D634">
        <v>7682</v>
      </c>
    </row>
    <row r="635" spans="1:4" x14ac:dyDescent="0.25">
      <c r="A635" t="str">
        <f>T("   621050")</f>
        <v xml:space="preserve">   621050</v>
      </c>
      <c r="B635" t="s">
        <v>295</v>
      </c>
      <c r="C635">
        <v>835117</v>
      </c>
      <c r="D635">
        <v>366</v>
      </c>
    </row>
    <row r="636" spans="1:4" x14ac:dyDescent="0.25">
      <c r="A636" t="str">
        <f>T("   621149")</f>
        <v xml:space="preserve">   621149</v>
      </c>
      <c r="B636"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636">
        <v>393576</v>
      </c>
      <c r="D636">
        <v>35</v>
      </c>
    </row>
    <row r="637" spans="1:4" x14ac:dyDescent="0.25">
      <c r="A637" t="str">
        <f>T("   630190")</f>
        <v xml:space="preserve">   630190</v>
      </c>
      <c r="B637" t="s">
        <v>297</v>
      </c>
      <c r="C637">
        <v>280187</v>
      </c>
      <c r="D637">
        <v>359</v>
      </c>
    </row>
    <row r="638" spans="1:4" x14ac:dyDescent="0.25">
      <c r="A638" t="str">
        <f>T("   630260")</f>
        <v xml:space="preserve">   630260</v>
      </c>
      <c r="B63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638">
        <v>512961</v>
      </c>
      <c r="D638">
        <v>730</v>
      </c>
    </row>
    <row r="639" spans="1:4" x14ac:dyDescent="0.25">
      <c r="A639" t="str">
        <f>T("   630399")</f>
        <v xml:space="preserve">   630399</v>
      </c>
      <c r="B639"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39">
        <v>851456</v>
      </c>
      <c r="D639">
        <v>1011</v>
      </c>
    </row>
    <row r="640" spans="1:4" x14ac:dyDescent="0.25">
      <c r="A640" t="str">
        <f>T("   630539")</f>
        <v xml:space="preserve">   630539</v>
      </c>
      <c r="B640"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40">
        <v>45917</v>
      </c>
      <c r="D640">
        <v>27</v>
      </c>
    </row>
    <row r="641" spans="1:4" x14ac:dyDescent="0.25">
      <c r="A641" t="str">
        <f>T("   630612")</f>
        <v xml:space="preserve">   630612</v>
      </c>
      <c r="B641"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641">
        <v>300000</v>
      </c>
      <c r="D641">
        <v>500</v>
      </c>
    </row>
    <row r="642" spans="1:4" x14ac:dyDescent="0.25">
      <c r="A642" t="str">
        <f>T("   630629")</f>
        <v xml:space="preserve">   630629</v>
      </c>
      <c r="B642" t="str">
        <f>T("   Tentes de matières textiles (autres que de coton ou fibres synthétiques et sauf paravents)")</f>
        <v xml:space="preserve">   Tentes de matières textiles (autres que de coton ou fibres synthétiques et sauf paravents)</v>
      </c>
      <c r="C642">
        <v>4001356</v>
      </c>
      <c r="D642">
        <v>3711</v>
      </c>
    </row>
    <row r="643" spans="1:4" x14ac:dyDescent="0.25">
      <c r="A643" t="str">
        <f>T("   630790")</f>
        <v xml:space="preserve">   630790</v>
      </c>
      <c r="B643" t="str">
        <f>T("   Articles de matières textiles, confectionnés, y.c. les patrons de vêtements n.d.a.")</f>
        <v xml:space="preserve">   Articles de matières textiles, confectionnés, y.c. les patrons de vêtements n.d.a.</v>
      </c>
      <c r="C643">
        <v>1503910</v>
      </c>
      <c r="D643">
        <v>386</v>
      </c>
    </row>
    <row r="644" spans="1:4" x14ac:dyDescent="0.25">
      <c r="A644" t="str">
        <f>T("   630900")</f>
        <v xml:space="preserve">   630900</v>
      </c>
      <c r="B644" t="s">
        <v>300</v>
      </c>
      <c r="C644">
        <v>4934735152</v>
      </c>
      <c r="D644">
        <v>8562163</v>
      </c>
    </row>
    <row r="645" spans="1:4" x14ac:dyDescent="0.25">
      <c r="A645" t="str">
        <f>T("   631090")</f>
        <v xml:space="preserve">   631090</v>
      </c>
      <c r="B645"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645">
        <v>17115308</v>
      </c>
      <c r="D645">
        <v>107611</v>
      </c>
    </row>
    <row r="646" spans="1:4" x14ac:dyDescent="0.25">
      <c r="A646" t="str">
        <f>T("   640340")</f>
        <v xml:space="preserve">   640340</v>
      </c>
      <c r="B646"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646">
        <v>175109</v>
      </c>
      <c r="D646">
        <v>3</v>
      </c>
    </row>
    <row r="647" spans="1:4" x14ac:dyDescent="0.25">
      <c r="A647" t="str">
        <f>T("   640590")</f>
        <v xml:space="preserve">   640590</v>
      </c>
      <c r="B647" t="s">
        <v>311</v>
      </c>
      <c r="C647">
        <v>18848233</v>
      </c>
      <c r="D647">
        <v>3067</v>
      </c>
    </row>
    <row r="648" spans="1:4" x14ac:dyDescent="0.25">
      <c r="A648" t="str">
        <f>T("   650590")</f>
        <v xml:space="preserve">   650590</v>
      </c>
      <c r="B648" t="s">
        <v>312</v>
      </c>
      <c r="C648">
        <v>1148061</v>
      </c>
      <c r="D648">
        <v>263</v>
      </c>
    </row>
    <row r="649" spans="1:4" x14ac:dyDescent="0.25">
      <c r="A649" t="str">
        <f>T("   650699")</f>
        <v xml:space="preserve">   650699</v>
      </c>
      <c r="B649" t="str">
        <f>T("   Chapeaux et autres coiffures, même garnis, n.d.a.")</f>
        <v xml:space="preserve">   Chapeaux et autres coiffures, même garnis, n.d.a.</v>
      </c>
      <c r="C649">
        <v>492626</v>
      </c>
      <c r="D649">
        <v>216</v>
      </c>
    </row>
    <row r="650" spans="1:4" x14ac:dyDescent="0.25">
      <c r="A650" t="str">
        <f>T("   660110")</f>
        <v xml:space="preserve">   660110</v>
      </c>
      <c r="B650" t="str">
        <f>T("   Parasols de jardin et articles simil. (sauf tentes de plage)")</f>
        <v xml:space="preserve">   Parasols de jardin et articles simil. (sauf tentes de plage)</v>
      </c>
      <c r="C650">
        <v>442773</v>
      </c>
      <c r="D650">
        <v>60</v>
      </c>
    </row>
    <row r="651" spans="1:4" x14ac:dyDescent="0.25">
      <c r="A651" t="str">
        <f>T("   660199")</f>
        <v xml:space="preserve">   660199</v>
      </c>
      <c r="B65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51">
        <v>18216</v>
      </c>
      <c r="D651">
        <v>1</v>
      </c>
    </row>
    <row r="652" spans="1:4" x14ac:dyDescent="0.25">
      <c r="A652" t="str">
        <f>T("   670290")</f>
        <v xml:space="preserve">   670290</v>
      </c>
      <c r="B652"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652">
        <v>1290000</v>
      </c>
      <c r="D652">
        <v>2000</v>
      </c>
    </row>
    <row r="653" spans="1:4" x14ac:dyDescent="0.25">
      <c r="A653" t="str">
        <f>T("   680299")</f>
        <v xml:space="preserve">   680299</v>
      </c>
      <c r="B653" t="s">
        <v>318</v>
      </c>
      <c r="C653">
        <v>101674</v>
      </c>
      <c r="D653">
        <v>2254</v>
      </c>
    </row>
    <row r="654" spans="1:4" x14ac:dyDescent="0.25">
      <c r="A654" t="str">
        <f>T("   681381")</f>
        <v xml:space="preserve">   681381</v>
      </c>
      <c r="B654" t="str">
        <f>T("   GARNITURES DE FREINS ET PLAQUETTES DE FREINS, À BASE D'AMIANTE, D'AUTRES SUBSTANCES MINÉRALES OU DE CELLULOSE, MÊME COMBINÉES À DES MATIÈRES TEXTILES OU D'AUTRES MATIÈRES, NE CONTENANT PAS DE L'AMIANTE")</f>
        <v xml:space="preserve">   GARNITURES DE FREINS ET PLAQUETTES DE FREINS, À BASE D'AMIANTE, D'AUTRES SUBSTANCES MINÉRALES OU DE CELLULOSE, MÊME COMBINÉES À DES MATIÈRES TEXTILES OU D'AUTRES MATIÈRES, NE CONTENANT PAS DE L'AMIANTE</v>
      </c>
      <c r="C654">
        <v>586475</v>
      </c>
      <c r="D654">
        <v>51</v>
      </c>
    </row>
    <row r="655" spans="1:4" x14ac:dyDescent="0.25">
      <c r="A655" t="str">
        <f>T("   681389")</f>
        <v xml:space="preserve">   681389</v>
      </c>
      <c r="B655" t="s">
        <v>327</v>
      </c>
      <c r="C655">
        <v>558573</v>
      </c>
      <c r="D655">
        <v>26</v>
      </c>
    </row>
    <row r="656" spans="1:4" x14ac:dyDescent="0.25">
      <c r="A656" t="str">
        <f>T("   690310")</f>
        <v xml:space="preserve">   690310</v>
      </c>
      <c r="B656" t="s">
        <v>331</v>
      </c>
      <c r="C656">
        <v>12605614</v>
      </c>
      <c r="D656">
        <v>31</v>
      </c>
    </row>
    <row r="657" spans="1:4" x14ac:dyDescent="0.25">
      <c r="A657" t="str">
        <f>T("   690890")</f>
        <v xml:space="preserve">   690890</v>
      </c>
      <c r="B657" t="s">
        <v>336</v>
      </c>
      <c r="C657">
        <v>826162418</v>
      </c>
      <c r="D657">
        <v>7588849</v>
      </c>
    </row>
    <row r="658" spans="1:4" x14ac:dyDescent="0.25">
      <c r="A658" t="str">
        <f>T("   691090")</f>
        <v xml:space="preserve">   691090</v>
      </c>
      <c r="B658" t="s">
        <v>339</v>
      </c>
      <c r="C658">
        <v>749328</v>
      </c>
      <c r="D658">
        <v>6021</v>
      </c>
    </row>
    <row r="659" spans="1:4" x14ac:dyDescent="0.25">
      <c r="A659" t="str">
        <f>T("   691110")</f>
        <v xml:space="preserve">   691110</v>
      </c>
      <c r="B659" t="s">
        <v>340</v>
      </c>
      <c r="C659">
        <v>2579234</v>
      </c>
      <c r="D659">
        <v>225</v>
      </c>
    </row>
    <row r="660" spans="1:4" x14ac:dyDescent="0.25">
      <c r="A660" t="str">
        <f>T("   691200")</f>
        <v xml:space="preserve">   691200</v>
      </c>
      <c r="B660" t="s">
        <v>342</v>
      </c>
      <c r="C660">
        <v>862588</v>
      </c>
      <c r="D660">
        <v>336</v>
      </c>
    </row>
    <row r="661" spans="1:4" x14ac:dyDescent="0.25">
      <c r="A661" t="str">
        <f>T("   691490")</f>
        <v xml:space="preserve">   691490</v>
      </c>
      <c r="B661" t="str">
        <f>T("   Ouvrages en céramique autres que la porcelaine n.d.a.")</f>
        <v xml:space="preserve">   Ouvrages en céramique autres que la porcelaine n.d.a.</v>
      </c>
      <c r="C661">
        <v>360778</v>
      </c>
      <c r="D661">
        <v>580</v>
      </c>
    </row>
    <row r="662" spans="1:4" x14ac:dyDescent="0.25">
      <c r="A662" t="str">
        <f>T("   700721")</f>
        <v xml:space="preserve">   700721</v>
      </c>
      <c r="B662" t="s">
        <v>346</v>
      </c>
      <c r="C662">
        <v>183012</v>
      </c>
      <c r="D662">
        <v>10</v>
      </c>
    </row>
    <row r="663" spans="1:4" x14ac:dyDescent="0.25">
      <c r="A663" t="str">
        <f>T("   700729")</f>
        <v xml:space="preserve">   700729</v>
      </c>
      <c r="B663" t="s">
        <v>347</v>
      </c>
      <c r="C663">
        <v>7268138</v>
      </c>
      <c r="D663">
        <v>22182</v>
      </c>
    </row>
    <row r="664" spans="1:4" x14ac:dyDescent="0.25">
      <c r="A664" t="str">
        <f>T("   700992")</f>
        <v xml:space="preserve">   700992</v>
      </c>
      <c r="B664" t="str">
        <f>T("   Miroirs, en verre encadrés (sauf miroirs rétroviseurs pour véhicules)")</f>
        <v xml:space="preserve">   Miroirs, en verre encadrés (sauf miroirs rétroviseurs pour véhicules)</v>
      </c>
      <c r="C664">
        <v>150000</v>
      </c>
      <c r="D664">
        <v>56</v>
      </c>
    </row>
    <row r="665" spans="1:4" x14ac:dyDescent="0.25">
      <c r="A665" t="str">
        <f>T("   701090")</f>
        <v xml:space="preserve">   701090</v>
      </c>
      <c r="B665" t="s">
        <v>348</v>
      </c>
      <c r="C665">
        <v>11689914</v>
      </c>
      <c r="D665">
        <v>8727</v>
      </c>
    </row>
    <row r="666" spans="1:4" x14ac:dyDescent="0.25">
      <c r="A666" t="str">
        <f>T("   701710")</f>
        <v xml:space="preserve">   701710</v>
      </c>
      <c r="B666" t="s">
        <v>357</v>
      </c>
      <c r="C666">
        <v>9286</v>
      </c>
      <c r="D666">
        <v>1</v>
      </c>
    </row>
    <row r="667" spans="1:4" x14ac:dyDescent="0.25">
      <c r="A667" t="str">
        <f>T("   702000")</f>
        <v xml:space="preserve">   702000</v>
      </c>
      <c r="B667" t="str">
        <f>T("   Ouvrages en verre n.d.a.")</f>
        <v xml:space="preserve">   Ouvrages en verre n.d.a.</v>
      </c>
      <c r="C667">
        <v>1858872</v>
      </c>
      <c r="D667">
        <v>768</v>
      </c>
    </row>
    <row r="668" spans="1:4" x14ac:dyDescent="0.25">
      <c r="A668" t="str">
        <f>T("   711420")</f>
        <v xml:space="preserve">   711420</v>
      </c>
      <c r="B668" t="s">
        <v>362</v>
      </c>
      <c r="C668">
        <v>222318</v>
      </c>
      <c r="D668">
        <v>1450</v>
      </c>
    </row>
    <row r="669" spans="1:4" x14ac:dyDescent="0.25">
      <c r="A669" t="str">
        <f>T("   720890")</f>
        <v xml:space="preserve">   720890</v>
      </c>
      <c r="B669"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669">
        <v>30343398</v>
      </c>
      <c r="D669">
        <v>103320</v>
      </c>
    </row>
    <row r="670" spans="1:4" x14ac:dyDescent="0.25">
      <c r="A670" t="str">
        <f>T("   720916")</f>
        <v xml:space="preserve">   720916</v>
      </c>
      <c r="B670"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670">
        <v>10851723</v>
      </c>
      <c r="D670">
        <v>30610</v>
      </c>
    </row>
    <row r="671" spans="1:4" x14ac:dyDescent="0.25">
      <c r="A671" t="str">
        <f>T("   720917")</f>
        <v xml:space="preserve">   720917</v>
      </c>
      <c r="B67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671">
        <v>64598961</v>
      </c>
      <c r="D671">
        <v>181740</v>
      </c>
    </row>
    <row r="672" spans="1:4" x14ac:dyDescent="0.25">
      <c r="A672" t="str">
        <f>T("   720990")</f>
        <v xml:space="preserve">   720990</v>
      </c>
      <c r="B672"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672">
        <v>129813172</v>
      </c>
      <c r="D672">
        <v>458520</v>
      </c>
    </row>
    <row r="673" spans="1:4" x14ac:dyDescent="0.25">
      <c r="A673" t="str">
        <f>T("   721011")</f>
        <v xml:space="preserve">   721011</v>
      </c>
      <c r="B673" t="str">
        <f>T("   Produits laminés plats, en fer ou en aciers non alliés, d'une largeur &gt;= 600 mm, laminés à chaud ou à froid, étamés, d'une épaisseur &gt;= 0,5 mm")</f>
        <v xml:space="preserve">   Produits laminés plats, en fer ou en aciers non alliés, d'une largeur &gt;= 600 mm, laminés à chaud ou à froid, étamés, d'une épaisseur &gt;= 0,5 mm</v>
      </c>
      <c r="C673">
        <v>7676600</v>
      </c>
      <c r="D673">
        <v>14163</v>
      </c>
    </row>
    <row r="674" spans="1:4" x14ac:dyDescent="0.25">
      <c r="A674" t="str">
        <f>T("   721049")</f>
        <v xml:space="preserve">   721049</v>
      </c>
      <c r="B674"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74">
        <v>55058764</v>
      </c>
      <c r="D674">
        <v>101914</v>
      </c>
    </row>
    <row r="675" spans="1:4" x14ac:dyDescent="0.25">
      <c r="A675" t="str">
        <f>T("   721119")</f>
        <v xml:space="preserve">   721119</v>
      </c>
      <c r="B675" t="str">
        <f>T("   PRODUITS LAMINÉS PLATS, EN FER OU EN ACIERS NON ALLIÉS, D'UNE LARGEUR &lt; 600 MM, SIMPLEMENT LAMINÉS À CHAUD, D'UNE ÉPAISSEUR &lt; 4,75 MM (À L'EXCL. DES LARGES PLATS)")</f>
        <v xml:space="preserve">   PRODUITS LAMINÉS PLATS, EN FER OU EN ACIERS NON ALLIÉS, D'UNE LARGEUR &lt; 600 MM, SIMPLEMENT LAMINÉS À CHAUD, D'UNE ÉPAISSEUR &lt; 4,75 MM (À L'EXCL. DES LARGES PLATS)</v>
      </c>
      <c r="C675">
        <v>270240866</v>
      </c>
      <c r="D675">
        <v>776403</v>
      </c>
    </row>
    <row r="676" spans="1:4" x14ac:dyDescent="0.25">
      <c r="A676" t="str">
        <f>T("   721399")</f>
        <v xml:space="preserve">   721399</v>
      </c>
      <c r="B676" t="s">
        <v>365</v>
      </c>
      <c r="C676">
        <v>1145153522</v>
      </c>
      <c r="D676">
        <v>3221564</v>
      </c>
    </row>
    <row r="677" spans="1:4" x14ac:dyDescent="0.25">
      <c r="A677" t="str">
        <f>T("   721420")</f>
        <v xml:space="preserve">   721420</v>
      </c>
      <c r="B677"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77">
        <v>17154695</v>
      </c>
      <c r="D677">
        <v>51859</v>
      </c>
    </row>
    <row r="678" spans="1:4" x14ac:dyDescent="0.25">
      <c r="A678" t="str">
        <f>T("   721621")</f>
        <v xml:space="preserve">   721621</v>
      </c>
      <c r="B678" t="str">
        <f>T("   PROFILÉS EN L EN FER OU ACIERS NON ALLIÉS, SIMPLEMENT LAMINÉS OU FILÉS À CHAUD, HAUTEUR &lt; 80 MM")</f>
        <v xml:space="preserve">   PROFILÉS EN L EN FER OU ACIERS NON ALLIÉS, SIMPLEMENT LAMINÉS OU FILÉS À CHAUD, HAUTEUR &lt; 80 MM</v>
      </c>
      <c r="C678">
        <v>87506511</v>
      </c>
      <c r="D678">
        <v>228640</v>
      </c>
    </row>
    <row r="679" spans="1:4" x14ac:dyDescent="0.25">
      <c r="A679" t="str">
        <f>T("   721622")</f>
        <v xml:space="preserve">   721622</v>
      </c>
      <c r="B679" t="str">
        <f>T("   PROFILÉS EN T EN FER OU ACIERS NON ALLIÉS, SIMPLEMENT LAMINÉS OU FILÉS À CHAUD, HAUTEUR &lt; 80 MM")</f>
        <v xml:space="preserve">   PROFILÉS EN T EN FER OU ACIERS NON ALLIÉS, SIMPLEMENT LAMINÉS OU FILÉS À CHAUD, HAUTEUR &lt; 80 MM</v>
      </c>
      <c r="C679">
        <v>5558379</v>
      </c>
      <c r="D679">
        <v>13060</v>
      </c>
    </row>
    <row r="680" spans="1:4" x14ac:dyDescent="0.25">
      <c r="A680" t="str">
        <f>T("   721631")</f>
        <v xml:space="preserve">   721631</v>
      </c>
      <c r="B680" t="str">
        <f>T("   PROFILÉS EN U, EN FER OU EN ACIERS NON-ALLIÉS, SIMPL. LAMINÉS OU FILÉS À CHAUD, D'UNE HAUTEUR &gt;= 80 MM")</f>
        <v xml:space="preserve">   PROFILÉS EN U, EN FER OU EN ACIERS NON-ALLIÉS, SIMPL. LAMINÉS OU FILÉS À CHAUD, D'UNE HAUTEUR &gt;= 80 MM</v>
      </c>
      <c r="C680">
        <v>221319300</v>
      </c>
      <c r="D680">
        <v>608545</v>
      </c>
    </row>
    <row r="681" spans="1:4" x14ac:dyDescent="0.25">
      <c r="A681" t="str">
        <f>T("   721650")</f>
        <v xml:space="preserve">   721650</v>
      </c>
      <c r="B681"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681">
        <v>6389260</v>
      </c>
      <c r="D681">
        <v>16980</v>
      </c>
    </row>
    <row r="682" spans="1:4" x14ac:dyDescent="0.25">
      <c r="A682" t="str">
        <f>T("   721669")</f>
        <v xml:space="preserve">   721669</v>
      </c>
      <c r="B682"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682">
        <v>975485</v>
      </c>
      <c r="D682">
        <v>16</v>
      </c>
    </row>
    <row r="683" spans="1:4" x14ac:dyDescent="0.25">
      <c r="A683" t="str">
        <f>T("   721710")</f>
        <v xml:space="preserve">   721710</v>
      </c>
      <c r="B683" t="str">
        <f>T("   FILS EN FER OU EN ACIERS NON-ALLIÉS, ENROULÉS, NON-REVÊTUS, MÊME POLIS (À L'EXCL. DU FIL MACHINE)")</f>
        <v xml:space="preserve">   FILS EN FER OU EN ACIERS NON-ALLIÉS, ENROULÉS, NON-REVÊTUS, MÊME POLIS (À L'EXCL. DU FIL MACHINE)</v>
      </c>
      <c r="C683">
        <v>34387388</v>
      </c>
      <c r="D683">
        <v>100000</v>
      </c>
    </row>
    <row r="684" spans="1:4" x14ac:dyDescent="0.25">
      <c r="A684" t="str">
        <f>T("   722540")</f>
        <v xml:space="preserve">   722540</v>
      </c>
      <c r="B684"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684">
        <v>16160000</v>
      </c>
      <c r="D684">
        <v>14369</v>
      </c>
    </row>
    <row r="685" spans="1:4" x14ac:dyDescent="0.25">
      <c r="A685" t="str">
        <f>T("   730431")</f>
        <v xml:space="preserve">   730431</v>
      </c>
      <c r="B685" t="s">
        <v>370</v>
      </c>
      <c r="C685">
        <v>57805124</v>
      </c>
      <c r="D685">
        <v>131875</v>
      </c>
    </row>
    <row r="686" spans="1:4" x14ac:dyDescent="0.25">
      <c r="A686" t="str">
        <f>T("   730719")</f>
        <v xml:space="preserve">   730719</v>
      </c>
      <c r="B686" t="str">
        <f>T("   Accessoires de tuyauterie moulés en fonte, fer ou acier (sauf fonte non-malléable)")</f>
        <v xml:space="preserve">   Accessoires de tuyauterie moulés en fonte, fer ou acier (sauf fonte non-malléable)</v>
      </c>
      <c r="C686">
        <v>5497809</v>
      </c>
      <c r="D686">
        <v>189</v>
      </c>
    </row>
    <row r="687" spans="1:4" x14ac:dyDescent="0.25">
      <c r="A687" t="str">
        <f>T("   730722")</f>
        <v xml:space="preserve">   730722</v>
      </c>
      <c r="B687" t="str">
        <f>T("   COUDES, COURBES ET MANCHONS EN ACIERS INOXYDABLES, FILETÉS (NON-MOULÉS)")</f>
        <v xml:space="preserve">   COUDES, COURBES ET MANCHONS EN ACIERS INOXYDABLES, FILETÉS (NON-MOULÉS)</v>
      </c>
      <c r="C687">
        <v>4533</v>
      </c>
      <c r="D687">
        <v>1</v>
      </c>
    </row>
    <row r="688" spans="1:4" x14ac:dyDescent="0.25">
      <c r="A688" t="str">
        <f>T("   730810")</f>
        <v xml:space="preserve">   730810</v>
      </c>
      <c r="B688" t="str">
        <f>T("   Ponts et éléments de ponts, en fer ou en acier")</f>
        <v xml:space="preserve">   Ponts et éléments de ponts, en fer ou en acier</v>
      </c>
      <c r="C688">
        <v>8488122</v>
      </c>
      <c r="D688">
        <v>9750</v>
      </c>
    </row>
    <row r="689" spans="1:4" x14ac:dyDescent="0.25">
      <c r="A689" t="str">
        <f>T("   730820")</f>
        <v xml:space="preserve">   730820</v>
      </c>
      <c r="B689" t="str">
        <f>T("   Tours et pylônes, en fer ou en acier")</f>
        <v xml:space="preserve">   Tours et pylônes, en fer ou en acier</v>
      </c>
      <c r="C689">
        <v>308107035</v>
      </c>
      <c r="D689">
        <v>19276</v>
      </c>
    </row>
    <row r="690" spans="1:4" x14ac:dyDescent="0.25">
      <c r="A690" t="str">
        <f>T("   730900")</f>
        <v xml:space="preserve">   730900</v>
      </c>
      <c r="B690" t="s">
        <v>377</v>
      </c>
      <c r="C690">
        <v>32534961</v>
      </c>
      <c r="D690">
        <v>7102</v>
      </c>
    </row>
    <row r="691" spans="1:4" x14ac:dyDescent="0.25">
      <c r="A691" t="str">
        <f>T("   731010")</f>
        <v xml:space="preserve">   731010</v>
      </c>
      <c r="B691"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691">
        <v>4610828</v>
      </c>
      <c r="D691">
        <v>48</v>
      </c>
    </row>
    <row r="692" spans="1:4" x14ac:dyDescent="0.25">
      <c r="A692" t="str">
        <f>T("   731210")</f>
        <v xml:space="preserve">   731210</v>
      </c>
      <c r="B692"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92">
        <v>665906</v>
      </c>
      <c r="D692">
        <v>150</v>
      </c>
    </row>
    <row r="693" spans="1:4" x14ac:dyDescent="0.25">
      <c r="A693" t="str">
        <f>T("   731412")</f>
        <v xml:space="preserve">   731412</v>
      </c>
      <c r="B693" t="str">
        <f>T("   Toiles métalliques continues ou sans fin, pour machines, en fils d'acier inoxydable")</f>
        <v xml:space="preserve">   Toiles métalliques continues ou sans fin, pour machines, en fils d'acier inoxydable</v>
      </c>
      <c r="C693">
        <v>8626740</v>
      </c>
      <c r="D693">
        <v>304</v>
      </c>
    </row>
    <row r="694" spans="1:4" x14ac:dyDescent="0.25">
      <c r="A694" t="str">
        <f>T("   731511")</f>
        <v xml:space="preserve">   731511</v>
      </c>
      <c r="B694" t="str">
        <f>T("   Chaînes à rouleaux en fonte, fer ou acier")</f>
        <v xml:space="preserve">   Chaînes à rouleaux en fonte, fer ou acier</v>
      </c>
      <c r="C694">
        <v>956016</v>
      </c>
      <c r="D694">
        <v>30</v>
      </c>
    </row>
    <row r="695" spans="1:4" x14ac:dyDescent="0.25">
      <c r="A695" t="str">
        <f>T("   731589")</f>
        <v xml:space="preserve">   731589</v>
      </c>
      <c r="B695" t="s">
        <v>379</v>
      </c>
      <c r="C695">
        <v>1178895</v>
      </c>
      <c r="D695">
        <v>2359</v>
      </c>
    </row>
    <row r="696" spans="1:4" x14ac:dyDescent="0.25">
      <c r="A696" t="str">
        <f>T("   731815")</f>
        <v xml:space="preserve">   731815</v>
      </c>
      <c r="B696" t="s">
        <v>380</v>
      </c>
      <c r="C696">
        <v>49218125</v>
      </c>
      <c r="D696">
        <v>9189</v>
      </c>
    </row>
    <row r="697" spans="1:4" x14ac:dyDescent="0.25">
      <c r="A697" t="str">
        <f>T("   731819")</f>
        <v xml:space="preserve">   731819</v>
      </c>
      <c r="B697" t="str">
        <f>T("   Articles de boulonnerie et de visserie, filetés, en fonte, fer ou acier, n.d.a.")</f>
        <v xml:space="preserve">   Articles de boulonnerie et de visserie, filetés, en fonte, fer ou acier, n.d.a.</v>
      </c>
      <c r="C697">
        <v>6100428</v>
      </c>
      <c r="D697">
        <v>8017</v>
      </c>
    </row>
    <row r="698" spans="1:4" x14ac:dyDescent="0.25">
      <c r="A698" t="str">
        <f>T("   731822")</f>
        <v xml:space="preserve">   731822</v>
      </c>
      <c r="B698" t="str">
        <f>T("   Rondelles en fonte, fer ou acier (sauf rondelles destinées à faire ressort et autres rondelles de blocage)")</f>
        <v xml:space="preserve">   Rondelles en fonte, fer ou acier (sauf rondelles destinées à faire ressort et autres rondelles de blocage)</v>
      </c>
      <c r="C698">
        <v>623719</v>
      </c>
      <c r="D698">
        <v>7</v>
      </c>
    </row>
    <row r="699" spans="1:4" x14ac:dyDescent="0.25">
      <c r="A699" t="str">
        <f>T("   731823")</f>
        <v xml:space="preserve">   731823</v>
      </c>
      <c r="B699"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699">
        <v>1534957</v>
      </c>
      <c r="D699">
        <v>57</v>
      </c>
    </row>
    <row r="700" spans="1:4" x14ac:dyDescent="0.25">
      <c r="A700" t="str">
        <f>T("   731824")</f>
        <v xml:space="preserve">   731824</v>
      </c>
      <c r="B700" t="str">
        <f>T("   Goupilles, chevilles et clavettes en fonte, fer ou acier")</f>
        <v xml:space="preserve">   Goupilles, chevilles et clavettes en fonte, fer ou acier</v>
      </c>
      <c r="C700">
        <v>745728</v>
      </c>
      <c r="D700">
        <v>49</v>
      </c>
    </row>
    <row r="701" spans="1:4" x14ac:dyDescent="0.25">
      <c r="A701" t="str">
        <f>T("   732090")</f>
        <v xml:space="preserve">   732090</v>
      </c>
      <c r="B701" t="s">
        <v>381</v>
      </c>
      <c r="C701">
        <v>3193115</v>
      </c>
      <c r="D701">
        <v>164</v>
      </c>
    </row>
    <row r="702" spans="1:4" x14ac:dyDescent="0.25">
      <c r="A702" t="str">
        <f>T("   732393")</f>
        <v xml:space="preserve">   732393</v>
      </c>
      <c r="B702" t="s">
        <v>388</v>
      </c>
      <c r="C702">
        <v>450000</v>
      </c>
      <c r="D702">
        <v>2300</v>
      </c>
    </row>
    <row r="703" spans="1:4" x14ac:dyDescent="0.25">
      <c r="A703" t="str">
        <f>T("   732394")</f>
        <v xml:space="preserve">   732394</v>
      </c>
      <c r="B703" t="s">
        <v>389</v>
      </c>
      <c r="C703">
        <v>4384867</v>
      </c>
      <c r="D703">
        <v>6416</v>
      </c>
    </row>
    <row r="704" spans="1:4" x14ac:dyDescent="0.25">
      <c r="A704" t="str">
        <f>T("   732399")</f>
        <v xml:space="preserve">   732399</v>
      </c>
      <c r="B704" t="s">
        <v>390</v>
      </c>
      <c r="C704">
        <v>14073846</v>
      </c>
      <c r="D704">
        <v>36965</v>
      </c>
    </row>
    <row r="705" spans="1:4" x14ac:dyDescent="0.25">
      <c r="A705" t="str">
        <f>T("   732591")</f>
        <v xml:space="preserve">   732591</v>
      </c>
      <c r="B705" t="str">
        <f>T("   Boulets et simil., pour broyeurs, moulés (sauf en fonte non malléable)")</f>
        <v xml:space="preserve">   Boulets et simil., pour broyeurs, moulés (sauf en fonte non malléable)</v>
      </c>
      <c r="C705">
        <v>153859354</v>
      </c>
      <c r="D705">
        <v>195840</v>
      </c>
    </row>
    <row r="706" spans="1:4" x14ac:dyDescent="0.25">
      <c r="A706" t="str">
        <f>T("   732619")</f>
        <v xml:space="preserve">   732619</v>
      </c>
      <c r="B706"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706">
        <v>55756</v>
      </c>
      <c r="D706">
        <v>149</v>
      </c>
    </row>
    <row r="707" spans="1:4" x14ac:dyDescent="0.25">
      <c r="A707" t="str">
        <f>T("   732690")</f>
        <v xml:space="preserve">   732690</v>
      </c>
      <c r="B70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07">
        <v>70472806</v>
      </c>
      <c r="D707">
        <v>9693</v>
      </c>
    </row>
    <row r="708" spans="1:4" x14ac:dyDescent="0.25">
      <c r="A708" t="str">
        <f>T("   740710")</f>
        <v xml:space="preserve">   740710</v>
      </c>
      <c r="B708" t="str">
        <f>T("   Barres et profilés en cuivre affiné, n.d.a.")</f>
        <v xml:space="preserve">   Barres et profilés en cuivre affiné, n.d.a.</v>
      </c>
      <c r="C708">
        <v>1040422</v>
      </c>
      <c r="D708">
        <v>8447</v>
      </c>
    </row>
    <row r="709" spans="1:4" x14ac:dyDescent="0.25">
      <c r="A709" t="str">
        <f>T("   741220")</f>
        <v xml:space="preserve">   741220</v>
      </c>
      <c r="B709" t="str">
        <f>T("   Accessoires de tuyauterie -raccords, coudes, manchons, par exemple-, en alliages de cuivre")</f>
        <v xml:space="preserve">   Accessoires de tuyauterie -raccords, coudes, manchons, par exemple-, en alliages de cuivre</v>
      </c>
      <c r="C709">
        <v>868085</v>
      </c>
      <c r="D709">
        <v>7</v>
      </c>
    </row>
    <row r="710" spans="1:4" x14ac:dyDescent="0.25">
      <c r="A710" t="str">
        <f>T("   741999")</f>
        <v xml:space="preserve">   741999</v>
      </c>
      <c r="B710" t="str">
        <f>T("   Ouvrages en cuivre, n.d.a.")</f>
        <v xml:space="preserve">   Ouvrages en cuivre, n.d.a.</v>
      </c>
      <c r="C710">
        <v>11285667</v>
      </c>
      <c r="D710">
        <v>939</v>
      </c>
    </row>
    <row r="711" spans="1:4" x14ac:dyDescent="0.25">
      <c r="A711" t="str">
        <f>T("   760429")</f>
        <v xml:space="preserve">   760429</v>
      </c>
      <c r="B711" t="str">
        <f>T("   Barres et profilés pleins en alliages d'aluminium, n.d.a.")</f>
        <v xml:space="preserve">   Barres et profilés pleins en alliages d'aluminium, n.d.a.</v>
      </c>
      <c r="C711">
        <v>140680703</v>
      </c>
      <c r="D711">
        <v>28235</v>
      </c>
    </row>
    <row r="712" spans="1:4" x14ac:dyDescent="0.25">
      <c r="A712" t="str">
        <f>T("   760611")</f>
        <v xml:space="preserve">   760611</v>
      </c>
      <c r="B712"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712">
        <v>51719573</v>
      </c>
      <c r="D712">
        <v>41608</v>
      </c>
    </row>
    <row r="713" spans="1:4" x14ac:dyDescent="0.25">
      <c r="A713" t="str">
        <f>T("   760692")</f>
        <v xml:space="preserve">   760692</v>
      </c>
      <c r="B713" t="str">
        <f>T("   Tôles et bandes en alliages d'aluminium, d'une épaisseur &gt; 0,2 mm, de forme autre que carrée ou rectangulaire")</f>
        <v xml:space="preserve">   Tôles et bandes en alliages d'aluminium, d'une épaisseur &gt; 0,2 mm, de forme autre que carrée ou rectangulaire</v>
      </c>
      <c r="C713">
        <v>61261417</v>
      </c>
      <c r="D713">
        <v>30021</v>
      </c>
    </row>
    <row r="714" spans="1:4" x14ac:dyDescent="0.25">
      <c r="A714" t="str">
        <f>T("   761010")</f>
        <v xml:space="preserve">   761010</v>
      </c>
      <c r="B714" t="str">
        <f>T("   Portes, fenêtres et leurs cadres, chambranles et seuils, en aluminium (sauf pièces de garnissage)")</f>
        <v xml:space="preserve">   Portes, fenêtres et leurs cadres, chambranles et seuils, en aluminium (sauf pièces de garnissage)</v>
      </c>
      <c r="C714">
        <v>226962</v>
      </c>
      <c r="D714">
        <v>1032</v>
      </c>
    </row>
    <row r="715" spans="1:4" x14ac:dyDescent="0.25">
      <c r="A715" t="str">
        <f>T("   761691")</f>
        <v xml:space="preserve">   761691</v>
      </c>
      <c r="B715"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715">
        <v>783190</v>
      </c>
      <c r="D715">
        <v>42</v>
      </c>
    </row>
    <row r="716" spans="1:4" x14ac:dyDescent="0.25">
      <c r="A716" t="str">
        <f>T("   761699")</f>
        <v xml:space="preserve">   761699</v>
      </c>
      <c r="B716" t="str">
        <f>T("   Ouvrages en aluminium, n.d.a.")</f>
        <v xml:space="preserve">   Ouvrages en aluminium, n.d.a.</v>
      </c>
      <c r="C716">
        <v>9541660</v>
      </c>
      <c r="D716">
        <v>4961</v>
      </c>
    </row>
    <row r="717" spans="1:4" x14ac:dyDescent="0.25">
      <c r="A717" t="str">
        <f>T("   810990")</f>
        <v xml:space="preserve">   810990</v>
      </c>
      <c r="B717" t="str">
        <f>T("   Ouvrages en zirconium, n.d.a.")</f>
        <v xml:space="preserve">   Ouvrages en zirconium, n.d.a.</v>
      </c>
      <c r="C717">
        <v>292728</v>
      </c>
      <c r="D717">
        <v>9</v>
      </c>
    </row>
    <row r="718" spans="1:4" x14ac:dyDescent="0.25">
      <c r="A718" t="str">
        <f>T("   820320")</f>
        <v xml:space="preserve">   820320</v>
      </c>
      <c r="B718" t="str">
        <f>T("   PINCES -MÊME COUPANTES-, TENAILLES, BRUCELLES À USAGE NON-MÉDICAL ET OUTILS SIMIL. À MAIN, EN MÉTAUX COMMUNS")</f>
        <v xml:space="preserve">   PINCES -MÊME COUPANTES-, TENAILLES, BRUCELLES À USAGE NON-MÉDICAL ET OUTILS SIMIL. À MAIN, EN MÉTAUX COMMUNS</v>
      </c>
      <c r="C718">
        <v>676708</v>
      </c>
      <c r="D718">
        <v>19</v>
      </c>
    </row>
    <row r="719" spans="1:4" x14ac:dyDescent="0.25">
      <c r="A719" t="str">
        <f>T("   820530")</f>
        <v xml:space="preserve">   820530</v>
      </c>
      <c r="B719" t="str">
        <f>T("   Rabots, ciseaux, gouges et outils tranchants simil. à main pour le travail du bois")</f>
        <v xml:space="preserve">   Rabots, ciseaux, gouges et outils tranchants simil. à main pour le travail du bois</v>
      </c>
      <c r="C719">
        <v>280620</v>
      </c>
      <c r="D719">
        <v>9</v>
      </c>
    </row>
    <row r="720" spans="1:4" x14ac:dyDescent="0.25">
      <c r="A720" t="str">
        <f>T("   820559")</f>
        <v xml:space="preserve">   820559</v>
      </c>
      <c r="B720" t="str">
        <f>T("   Outils à main, y.c. -les diamants de vitrier-, en métaux communs, n.d.a.")</f>
        <v xml:space="preserve">   Outils à main, y.c. -les diamants de vitrier-, en métaux communs, n.d.a.</v>
      </c>
      <c r="C720">
        <v>910676</v>
      </c>
      <c r="D720">
        <v>615.6</v>
      </c>
    </row>
    <row r="721" spans="1:4" x14ac:dyDescent="0.25">
      <c r="A721" t="str">
        <f>T("   820790")</f>
        <v xml:space="preserve">   820790</v>
      </c>
      <c r="B721" t="str">
        <f>T("   Outils interchangeables pour outillage à main, mécanique ou non, ou pour machines-outils, n.d.a.")</f>
        <v xml:space="preserve">   Outils interchangeables pour outillage à main, mécanique ou non, ou pour machines-outils, n.d.a.</v>
      </c>
      <c r="C721">
        <v>95554</v>
      </c>
      <c r="D721">
        <v>1</v>
      </c>
    </row>
    <row r="722" spans="1:4" x14ac:dyDescent="0.25">
      <c r="A722" t="str">
        <f>T("   821520")</f>
        <v xml:space="preserve">   821520</v>
      </c>
      <c r="B722"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722">
        <v>817326</v>
      </c>
      <c r="D722">
        <v>680</v>
      </c>
    </row>
    <row r="723" spans="1:4" x14ac:dyDescent="0.25">
      <c r="A723" t="str">
        <f>T("   821599")</f>
        <v xml:space="preserve">   821599</v>
      </c>
      <c r="B723" t="s">
        <v>404</v>
      </c>
      <c r="C723">
        <v>856684</v>
      </c>
      <c r="D723">
        <v>5095</v>
      </c>
    </row>
    <row r="724" spans="1:4" x14ac:dyDescent="0.25">
      <c r="A724" t="str">
        <f>T("   830241")</f>
        <v xml:space="preserve">   830241</v>
      </c>
      <c r="B724"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724">
        <v>2268893</v>
      </c>
      <c r="D724">
        <v>71</v>
      </c>
    </row>
    <row r="725" spans="1:4" x14ac:dyDescent="0.25">
      <c r="A725" t="str">
        <f>T("   830400")</f>
        <v xml:space="preserve">   830400</v>
      </c>
      <c r="B725"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725">
        <v>1802578</v>
      </c>
      <c r="D725">
        <v>2000</v>
      </c>
    </row>
    <row r="726" spans="1:4" x14ac:dyDescent="0.25">
      <c r="A726" t="str">
        <f>T("   830990")</f>
        <v xml:space="preserve">   830990</v>
      </c>
      <c r="B726"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26">
        <v>561469</v>
      </c>
      <c r="D726">
        <v>6</v>
      </c>
    </row>
    <row r="727" spans="1:4" x14ac:dyDescent="0.25">
      <c r="A727" t="str">
        <f>T("   840290")</f>
        <v xml:space="preserve">   840290</v>
      </c>
      <c r="B727" t="str">
        <f>T("   Parties de chaudières à vapeur et de chaudières dites -à eau surchauffée-, n.d.a.")</f>
        <v xml:space="preserve">   Parties de chaudières à vapeur et de chaudières dites -à eau surchauffée-, n.d.a.</v>
      </c>
      <c r="C727">
        <v>16375012</v>
      </c>
      <c r="D727">
        <v>56</v>
      </c>
    </row>
    <row r="728" spans="1:4" x14ac:dyDescent="0.25">
      <c r="A728" t="str">
        <f>T("   840510")</f>
        <v xml:space="preserve">   840510</v>
      </c>
      <c r="B728" t="s">
        <v>411</v>
      </c>
      <c r="C728">
        <v>4427730</v>
      </c>
      <c r="D728">
        <v>450</v>
      </c>
    </row>
    <row r="729" spans="1:4" x14ac:dyDescent="0.25">
      <c r="A729" t="str">
        <f>T("   840890")</f>
        <v xml:space="preserve">   840890</v>
      </c>
      <c r="B729" t="s">
        <v>416</v>
      </c>
      <c r="C729">
        <v>26255061</v>
      </c>
      <c r="D729">
        <v>5726</v>
      </c>
    </row>
    <row r="730" spans="1:4" x14ac:dyDescent="0.25">
      <c r="A730" t="str">
        <f>T("   840999")</f>
        <v xml:space="preserve">   840999</v>
      </c>
      <c r="B73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30">
        <v>63133836</v>
      </c>
      <c r="D730">
        <v>2202</v>
      </c>
    </row>
    <row r="731" spans="1:4" x14ac:dyDescent="0.25">
      <c r="A731" t="str">
        <f>T("   841290")</f>
        <v xml:space="preserve">   841290</v>
      </c>
      <c r="B731" t="str">
        <f>T("   PARTIES DE MOTEURS ET MACHINES MOTRICES NON-ÉLECTRIQUES, N.D.A.")</f>
        <v xml:space="preserve">   PARTIES DE MOTEURS ET MACHINES MOTRICES NON-ÉLECTRIQUES, N.D.A.</v>
      </c>
      <c r="C731">
        <v>194479</v>
      </c>
      <c r="D731">
        <v>107</v>
      </c>
    </row>
    <row r="732" spans="1:4" x14ac:dyDescent="0.25">
      <c r="A732" t="str">
        <f>T("   841330")</f>
        <v xml:space="preserve">   841330</v>
      </c>
      <c r="B732"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732">
        <v>19328698</v>
      </c>
      <c r="D732">
        <v>567.70000000000005</v>
      </c>
    </row>
    <row r="733" spans="1:4" x14ac:dyDescent="0.25">
      <c r="A733" t="str">
        <f>T("   841350")</f>
        <v xml:space="preserve">   841350</v>
      </c>
      <c r="B733" t="s">
        <v>417</v>
      </c>
      <c r="C733">
        <v>6645024</v>
      </c>
      <c r="D733">
        <v>108</v>
      </c>
    </row>
    <row r="734" spans="1:4" x14ac:dyDescent="0.25">
      <c r="A734" t="str">
        <f>T("   841360")</f>
        <v xml:space="preserve">   841360</v>
      </c>
      <c r="B734" t="s">
        <v>418</v>
      </c>
      <c r="C734">
        <v>3023307</v>
      </c>
      <c r="D734">
        <v>32</v>
      </c>
    </row>
    <row r="735" spans="1:4" x14ac:dyDescent="0.25">
      <c r="A735" t="str">
        <f>T("   841370")</f>
        <v xml:space="preserve">   841370</v>
      </c>
      <c r="B735" t="s">
        <v>419</v>
      </c>
      <c r="C735">
        <v>1297567</v>
      </c>
      <c r="D735">
        <v>35</v>
      </c>
    </row>
    <row r="736" spans="1:4" x14ac:dyDescent="0.25">
      <c r="A736" t="str">
        <f>T("   841381")</f>
        <v xml:space="preserve">   841381</v>
      </c>
      <c r="B736" t="s">
        <v>420</v>
      </c>
      <c r="C736">
        <v>29755397</v>
      </c>
      <c r="D736">
        <v>2179.9</v>
      </c>
    </row>
    <row r="737" spans="1:4" x14ac:dyDescent="0.25">
      <c r="A737" t="str">
        <f>T("   841391")</f>
        <v xml:space="preserve">   841391</v>
      </c>
      <c r="B737" t="str">
        <f>T("   Parties de pompes pour liquides, n.d.a.")</f>
        <v xml:space="preserve">   Parties de pompes pour liquides, n.d.a.</v>
      </c>
      <c r="C737">
        <v>3580137</v>
      </c>
      <c r="D737">
        <v>66</v>
      </c>
    </row>
    <row r="738" spans="1:4" x14ac:dyDescent="0.25">
      <c r="A738" t="str">
        <f>T("   841392")</f>
        <v xml:space="preserve">   841392</v>
      </c>
      <c r="B738" t="str">
        <f>T("   Parties d'élévateurs à liquides, n.d.a.")</f>
        <v xml:space="preserve">   Parties d'élévateurs à liquides, n.d.a.</v>
      </c>
      <c r="C738">
        <v>666304</v>
      </c>
      <c r="D738">
        <v>1</v>
      </c>
    </row>
    <row r="739" spans="1:4" x14ac:dyDescent="0.25">
      <c r="A739" t="str">
        <f>T("   841410")</f>
        <v xml:space="preserve">   841410</v>
      </c>
      <c r="B739" t="str">
        <f>T("   Pompes à vide")</f>
        <v xml:space="preserve">   Pompes à vide</v>
      </c>
      <c r="C739">
        <v>37776081</v>
      </c>
      <c r="D739">
        <v>2352</v>
      </c>
    </row>
    <row r="740" spans="1:4" x14ac:dyDescent="0.25">
      <c r="A740" t="str">
        <f>T("   841430")</f>
        <v xml:space="preserve">   841430</v>
      </c>
      <c r="B740" t="str">
        <f>T("   Compresseurs des types utilisés pour équipements frigorifiques")</f>
        <v xml:space="preserve">   Compresseurs des types utilisés pour équipements frigorifiques</v>
      </c>
      <c r="C740">
        <v>8648977</v>
      </c>
      <c r="D740">
        <v>3276</v>
      </c>
    </row>
    <row r="741" spans="1:4" x14ac:dyDescent="0.25">
      <c r="A741" t="str">
        <f>T("   841440")</f>
        <v xml:space="preserve">   841440</v>
      </c>
      <c r="B741" t="str">
        <f>T("   Compresseurs d'air montés sur châssis à roues et remorquables")</f>
        <v xml:space="preserve">   Compresseurs d'air montés sur châssis à roues et remorquables</v>
      </c>
      <c r="C741">
        <v>15867524</v>
      </c>
      <c r="D741">
        <v>15697</v>
      </c>
    </row>
    <row r="742" spans="1:4" x14ac:dyDescent="0.25">
      <c r="A742" t="str">
        <f>T("   841490")</f>
        <v xml:space="preserve">   841490</v>
      </c>
      <c r="B742"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742">
        <v>24386497</v>
      </c>
      <c r="D742">
        <v>1156.95</v>
      </c>
    </row>
    <row r="743" spans="1:4" x14ac:dyDescent="0.25">
      <c r="A743" t="str">
        <f>T("   841510")</f>
        <v xml:space="preserve">   841510</v>
      </c>
      <c r="B743" t="s">
        <v>422</v>
      </c>
      <c r="C743">
        <v>277471</v>
      </c>
      <c r="D743">
        <v>820</v>
      </c>
    </row>
    <row r="744" spans="1:4" x14ac:dyDescent="0.25">
      <c r="A744" t="str">
        <f>T("   841790")</f>
        <v xml:space="preserve">   841790</v>
      </c>
      <c r="B744" t="str">
        <f>T("   Parties de fours industriels ou de laboratoire non-électriques, y.c. d'incinérateurs, n.d.a.")</f>
        <v xml:space="preserve">   Parties de fours industriels ou de laboratoire non-électriques, y.c. d'incinérateurs, n.d.a.</v>
      </c>
      <c r="C744">
        <v>61111861</v>
      </c>
      <c r="D744">
        <v>19630</v>
      </c>
    </row>
    <row r="745" spans="1:4" x14ac:dyDescent="0.25">
      <c r="A745" t="str">
        <f>T("   841821")</f>
        <v xml:space="preserve">   841821</v>
      </c>
      <c r="B745" t="str">
        <f>T("   Réfrigérateurs ménagers à compression")</f>
        <v xml:space="preserve">   Réfrigérateurs ménagers à compression</v>
      </c>
      <c r="C745">
        <v>116715</v>
      </c>
      <c r="D745">
        <v>400</v>
      </c>
    </row>
    <row r="746" spans="1:4" x14ac:dyDescent="0.25">
      <c r="A746" t="str">
        <f>T("   841829")</f>
        <v xml:space="preserve">   841829</v>
      </c>
      <c r="B746" t="str">
        <f>T("   Réfrigérateurs ménagers à absorption, non-électriques")</f>
        <v xml:space="preserve">   Réfrigérateurs ménagers à absorption, non-électriques</v>
      </c>
      <c r="C746">
        <v>40010312</v>
      </c>
      <c r="D746">
        <v>324670</v>
      </c>
    </row>
    <row r="747" spans="1:4" x14ac:dyDescent="0.25">
      <c r="A747" t="str">
        <f>T("   841850")</f>
        <v xml:space="preserve">   841850</v>
      </c>
      <c r="B747" t="s">
        <v>427</v>
      </c>
      <c r="C747">
        <v>16100976</v>
      </c>
      <c r="D747">
        <v>5431</v>
      </c>
    </row>
    <row r="748" spans="1:4" x14ac:dyDescent="0.25">
      <c r="A748" t="str">
        <f>T("   841861")</f>
        <v xml:space="preserve">   841861</v>
      </c>
      <c r="B748" t="str">
        <f>T("   Groupes à compression pour la production du froid, dont le condenseur est constitué par un échangeur de chaleur")</f>
        <v xml:space="preserve">   Groupes à compression pour la production du froid, dont le condenseur est constitué par un échangeur de chaleur</v>
      </c>
      <c r="C748">
        <v>4349015</v>
      </c>
      <c r="D748">
        <v>2000</v>
      </c>
    </row>
    <row r="749" spans="1:4" x14ac:dyDescent="0.25">
      <c r="A749" t="str">
        <f>T("   841899")</f>
        <v xml:space="preserve">   841899</v>
      </c>
      <c r="B749"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49">
        <v>40008475</v>
      </c>
      <c r="D749">
        <v>3581</v>
      </c>
    </row>
    <row r="750" spans="1:4" x14ac:dyDescent="0.25">
      <c r="A750" t="str">
        <f>T("   841950")</f>
        <v xml:space="preserve">   841950</v>
      </c>
      <c r="B750"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750">
        <v>1198439</v>
      </c>
      <c r="D750">
        <v>763</v>
      </c>
    </row>
    <row r="751" spans="1:4" x14ac:dyDescent="0.25">
      <c r="A751" t="str">
        <f>T("   841989")</f>
        <v xml:space="preserve">   841989</v>
      </c>
      <c r="B751" t="s">
        <v>428</v>
      </c>
      <c r="C751">
        <v>1887500</v>
      </c>
      <c r="D751">
        <v>5500</v>
      </c>
    </row>
    <row r="752" spans="1:4" x14ac:dyDescent="0.25">
      <c r="A752" t="str">
        <f>T("   842119")</f>
        <v xml:space="preserve">   842119</v>
      </c>
      <c r="B752"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752">
        <v>3214401</v>
      </c>
      <c r="D752">
        <v>36</v>
      </c>
    </row>
    <row r="753" spans="1:4" x14ac:dyDescent="0.25">
      <c r="A753" t="str">
        <f>T("   842121")</f>
        <v xml:space="preserve">   842121</v>
      </c>
      <c r="B753" t="str">
        <f>T("   Appareils pour la filtration ou l'épuration des eaux")</f>
        <v xml:space="preserve">   Appareils pour la filtration ou l'épuration des eaux</v>
      </c>
      <c r="C753">
        <v>403115489</v>
      </c>
      <c r="D753">
        <v>15044</v>
      </c>
    </row>
    <row r="754" spans="1:4" x14ac:dyDescent="0.25">
      <c r="A754" t="str">
        <f>T("   842123")</f>
        <v xml:space="preserve">   842123</v>
      </c>
      <c r="B75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54">
        <v>7351146</v>
      </c>
      <c r="D754">
        <v>671</v>
      </c>
    </row>
    <row r="755" spans="1:4" x14ac:dyDescent="0.25">
      <c r="A755" t="str">
        <f>T("   842129")</f>
        <v xml:space="preserve">   842129</v>
      </c>
      <c r="B755"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55">
        <v>4339903</v>
      </c>
      <c r="D755">
        <v>331</v>
      </c>
    </row>
    <row r="756" spans="1:4" x14ac:dyDescent="0.25">
      <c r="A756" t="str">
        <f>T("   842131")</f>
        <v xml:space="preserve">   842131</v>
      </c>
      <c r="B756" t="str">
        <f>T("   Filtres d'entrée d'air pour moteurs à allumage par étincelles ou par compression")</f>
        <v xml:space="preserve">   Filtres d'entrée d'air pour moteurs à allumage par étincelles ou par compression</v>
      </c>
      <c r="C756">
        <v>157403</v>
      </c>
      <c r="D756">
        <v>3</v>
      </c>
    </row>
    <row r="757" spans="1:4" x14ac:dyDescent="0.25">
      <c r="A757" t="str">
        <f>T("   842139")</f>
        <v xml:space="preserve">   842139</v>
      </c>
      <c r="B75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57">
        <v>13428218</v>
      </c>
      <c r="D757">
        <v>731.7</v>
      </c>
    </row>
    <row r="758" spans="1:4" x14ac:dyDescent="0.25">
      <c r="A758" t="str">
        <f>T("   842191")</f>
        <v xml:space="preserve">   842191</v>
      </c>
      <c r="B758" t="str">
        <f>T("   Parties de centrifugeuses, y.c. d'essoreuses centrifuges, n.d.a.")</f>
        <v xml:space="preserve">   Parties de centrifugeuses, y.c. d'essoreuses centrifuges, n.d.a.</v>
      </c>
      <c r="C758">
        <v>189116</v>
      </c>
      <c r="D758">
        <v>1</v>
      </c>
    </row>
    <row r="759" spans="1:4" x14ac:dyDescent="0.25">
      <c r="A759" t="str">
        <f>T("   842199")</f>
        <v xml:space="preserve">   842199</v>
      </c>
      <c r="B759" t="str">
        <f>T("   Parties d'appareils pour la filtration ou l'épuration des liquides ou des gaz, n.d.a.")</f>
        <v xml:space="preserve">   Parties d'appareils pour la filtration ou l'épuration des liquides ou des gaz, n.d.a.</v>
      </c>
      <c r="C759">
        <v>1298801</v>
      </c>
      <c r="D759">
        <v>30</v>
      </c>
    </row>
    <row r="760" spans="1:4" x14ac:dyDescent="0.25">
      <c r="A760" t="str">
        <f>T("   842220")</f>
        <v xml:space="preserve">   842220</v>
      </c>
      <c r="B760"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760">
        <v>143920437</v>
      </c>
      <c r="D760">
        <v>33000</v>
      </c>
    </row>
    <row r="761" spans="1:4" x14ac:dyDescent="0.25">
      <c r="A761" t="str">
        <f>T("   842240")</f>
        <v xml:space="preserve">   842240</v>
      </c>
      <c r="B761" t="s">
        <v>429</v>
      </c>
      <c r="C761">
        <v>2246991</v>
      </c>
      <c r="D761">
        <v>220</v>
      </c>
    </row>
    <row r="762" spans="1:4" x14ac:dyDescent="0.25">
      <c r="A762" t="str">
        <f>T("   842290")</f>
        <v xml:space="preserve">   842290</v>
      </c>
      <c r="B76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62">
        <v>80765762</v>
      </c>
      <c r="D762">
        <v>3672</v>
      </c>
    </row>
    <row r="763" spans="1:4" x14ac:dyDescent="0.25">
      <c r="A763" t="str">
        <f>T("   842390")</f>
        <v xml:space="preserve">   842390</v>
      </c>
      <c r="B763" t="str">
        <f>T("   Poids pour balances de tous genres; parties d'appareils et instruments de pesage, n.d.a.")</f>
        <v xml:space="preserve">   Poids pour balances de tous genres; parties d'appareils et instruments de pesage, n.d.a.</v>
      </c>
      <c r="C763">
        <v>798198</v>
      </c>
      <c r="D763">
        <v>2</v>
      </c>
    </row>
    <row r="764" spans="1:4" x14ac:dyDescent="0.25">
      <c r="A764" t="str">
        <f>T("   842481")</f>
        <v xml:space="preserve">   842481</v>
      </c>
      <c r="B764"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764">
        <v>266000</v>
      </c>
      <c r="D764">
        <v>80</v>
      </c>
    </row>
    <row r="765" spans="1:4" x14ac:dyDescent="0.25">
      <c r="A765" t="str">
        <f>T("   842489")</f>
        <v xml:space="preserve">   842489</v>
      </c>
      <c r="B765"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765">
        <v>219438137</v>
      </c>
      <c r="D765">
        <v>6883</v>
      </c>
    </row>
    <row r="766" spans="1:4" x14ac:dyDescent="0.25">
      <c r="A766" t="str">
        <f>T("   842539")</f>
        <v xml:space="preserve">   842539</v>
      </c>
      <c r="B766"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766">
        <v>65071232</v>
      </c>
      <c r="D766">
        <v>27000</v>
      </c>
    </row>
    <row r="767" spans="1:4" x14ac:dyDescent="0.25">
      <c r="A767" t="str">
        <f>T("   842542")</f>
        <v xml:space="preserve">   842542</v>
      </c>
      <c r="B767" t="str">
        <f>T("   Crics et vérins, hydrauliques (sauf élévateurs fixes des types utilisés dans les garages pour voitures)")</f>
        <v xml:space="preserve">   Crics et vérins, hydrauliques (sauf élévateurs fixes des types utilisés dans les garages pour voitures)</v>
      </c>
      <c r="C767">
        <v>319199</v>
      </c>
      <c r="D767">
        <v>1</v>
      </c>
    </row>
    <row r="768" spans="1:4" x14ac:dyDescent="0.25">
      <c r="A768" t="str">
        <f>T("   842612")</f>
        <v xml:space="preserve">   842612</v>
      </c>
      <c r="B768" t="str">
        <f>T("   Portiques mobiles sur pneumatiques et chariots-cavaliers")</f>
        <v xml:space="preserve">   Portiques mobiles sur pneumatiques et chariots-cavaliers</v>
      </c>
      <c r="C768">
        <v>5116488</v>
      </c>
      <c r="D768">
        <v>2500</v>
      </c>
    </row>
    <row r="769" spans="1:4" x14ac:dyDescent="0.25">
      <c r="A769" t="str">
        <f>T("   842630")</f>
        <v xml:space="preserve">   842630</v>
      </c>
      <c r="B769" t="str">
        <f>T("   Grues sur portiques")</f>
        <v xml:space="preserve">   Grues sur portiques</v>
      </c>
      <c r="C769">
        <v>25835641</v>
      </c>
      <c r="D769">
        <v>43410</v>
      </c>
    </row>
    <row r="770" spans="1:4" x14ac:dyDescent="0.25">
      <c r="A770" t="str">
        <f>T("   842649")</f>
        <v xml:space="preserve">   842649</v>
      </c>
      <c r="B770" t="str">
        <f>T("   Bigues et chariots-grues et appareils autopropulsés (autres que sur pneumatiques et sauf chariots-cavaliers)")</f>
        <v xml:space="preserve">   Bigues et chariots-grues et appareils autopropulsés (autres que sur pneumatiques et sauf chariots-cavaliers)</v>
      </c>
      <c r="C770">
        <v>203347600</v>
      </c>
      <c r="D770">
        <v>41240</v>
      </c>
    </row>
    <row r="771" spans="1:4" x14ac:dyDescent="0.25">
      <c r="A771" t="str">
        <f>T("   842790")</f>
        <v xml:space="preserve">   842790</v>
      </c>
      <c r="B771" t="str">
        <f>T("   Chariots de manutention munis d'un dispositif de levage mais non autopropulsés")</f>
        <v xml:space="preserve">   Chariots de manutention munis d'un dispositif de levage mais non autopropulsés</v>
      </c>
      <c r="C771">
        <v>3935760</v>
      </c>
      <c r="D771">
        <v>4000</v>
      </c>
    </row>
    <row r="772" spans="1:4" x14ac:dyDescent="0.25">
      <c r="A772" t="str">
        <f>T("   842832")</f>
        <v xml:space="preserve">   842832</v>
      </c>
      <c r="B772" t="str">
        <f>T("   Appareils élévateurs, transporteurs ou convoyeurs pour marchandises, à action continue, à benne (autres que conçus pour mines au fond ou autres travaux souterrains)")</f>
        <v xml:space="preserve">   Appareils élévateurs, transporteurs ou convoyeurs pour marchandises, à action continue, à benne (autres que conçus pour mines au fond ou autres travaux souterrains)</v>
      </c>
      <c r="C772">
        <v>38228037</v>
      </c>
      <c r="D772">
        <v>6654</v>
      </c>
    </row>
    <row r="773" spans="1:4" x14ac:dyDescent="0.25">
      <c r="A773" t="str">
        <f>T("   842839")</f>
        <v xml:space="preserve">   842839</v>
      </c>
      <c r="B773"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73">
        <v>7518909</v>
      </c>
      <c r="D773">
        <v>5112</v>
      </c>
    </row>
    <row r="774" spans="1:4" x14ac:dyDescent="0.25">
      <c r="A774" t="str">
        <f>T("   842890")</f>
        <v xml:space="preserve">   842890</v>
      </c>
      <c r="B774" t="str">
        <f>T("   Machines et appareils de levage, chargement, déchargement ou manutention, n.d.a.")</f>
        <v xml:space="preserve">   Machines et appareils de levage, chargement, déchargement ou manutention, n.d.a.</v>
      </c>
      <c r="C774">
        <v>19312446</v>
      </c>
      <c r="D774">
        <v>6670</v>
      </c>
    </row>
    <row r="775" spans="1:4" x14ac:dyDescent="0.25">
      <c r="A775" t="str">
        <f>T("   842911")</f>
        <v xml:space="preserve">   842911</v>
      </c>
      <c r="B775" t="str">
        <f>T("   Bouteurs 'bulldozers' et bouteurs biais 'angledozers', à chenilles")</f>
        <v xml:space="preserve">   Bouteurs 'bulldozers' et bouteurs biais 'angledozers', à chenilles</v>
      </c>
      <c r="C775">
        <v>337111095</v>
      </c>
      <c r="D775">
        <v>132974</v>
      </c>
    </row>
    <row r="776" spans="1:4" x14ac:dyDescent="0.25">
      <c r="A776" t="str">
        <f>T("   842919")</f>
        <v xml:space="preserve">   842919</v>
      </c>
      <c r="B776" t="str">
        <f>T("   Bouteurs 'bulldozers' et bouteurs biais 'angledozers', sur roues")</f>
        <v xml:space="preserve">   Bouteurs 'bulldozers' et bouteurs biais 'angledozers', sur roues</v>
      </c>
      <c r="C776">
        <v>2587527</v>
      </c>
      <c r="D776">
        <v>640</v>
      </c>
    </row>
    <row r="777" spans="1:4" x14ac:dyDescent="0.25">
      <c r="A777" t="str">
        <f>T("   842920")</f>
        <v xml:space="preserve">   842920</v>
      </c>
      <c r="B777" t="str">
        <f>T("   Niveleuses autopropulsées")</f>
        <v xml:space="preserve">   Niveleuses autopropulsées</v>
      </c>
      <c r="C777">
        <v>126239502</v>
      </c>
      <c r="D777">
        <v>65781</v>
      </c>
    </row>
    <row r="778" spans="1:4" x14ac:dyDescent="0.25">
      <c r="A778" t="str">
        <f>T("   842940")</f>
        <v xml:space="preserve">   842940</v>
      </c>
      <c r="B778" t="str">
        <f>T("   Rouleaux compresseurs et autres compacteuses, autopropulsés")</f>
        <v xml:space="preserve">   Rouleaux compresseurs et autres compacteuses, autopropulsés</v>
      </c>
      <c r="C778">
        <v>2953890</v>
      </c>
      <c r="D778">
        <v>7105</v>
      </c>
    </row>
    <row r="779" spans="1:4" x14ac:dyDescent="0.25">
      <c r="A779" t="str">
        <f>T("   842951")</f>
        <v xml:space="preserve">   842951</v>
      </c>
      <c r="B779" t="str">
        <f>T("   Chargeuses et chargeuses-pelleteuses, à chargement frontal, autopropulsées")</f>
        <v xml:space="preserve">   Chargeuses et chargeuses-pelleteuses, à chargement frontal, autopropulsées</v>
      </c>
      <c r="C779">
        <v>1171719818</v>
      </c>
      <c r="D779">
        <v>259554</v>
      </c>
    </row>
    <row r="780" spans="1:4" x14ac:dyDescent="0.25">
      <c r="A780" t="str">
        <f>T("   842952")</f>
        <v xml:space="preserve">   842952</v>
      </c>
      <c r="B780" t="str">
        <f>T("   Pelles mécaniques, autopropulsées, dont la superstructure peut effectuer une rotation de 360°")</f>
        <v xml:space="preserve">   Pelles mécaniques, autopropulsées, dont la superstructure peut effectuer une rotation de 360°</v>
      </c>
      <c r="C780">
        <v>160054239</v>
      </c>
      <c r="D780">
        <v>34786</v>
      </c>
    </row>
    <row r="781" spans="1:4" x14ac:dyDescent="0.25">
      <c r="A781" t="str">
        <f>T("   842959")</f>
        <v xml:space="preserve">   842959</v>
      </c>
      <c r="B78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81">
        <v>70843680</v>
      </c>
      <c r="D781">
        <v>55000</v>
      </c>
    </row>
    <row r="782" spans="1:4" x14ac:dyDescent="0.25">
      <c r="A782" t="str">
        <f>T("   843049")</f>
        <v xml:space="preserve">   843049</v>
      </c>
      <c r="B782"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782">
        <v>66821350</v>
      </c>
      <c r="D782">
        <v>169994</v>
      </c>
    </row>
    <row r="783" spans="1:4" x14ac:dyDescent="0.25">
      <c r="A783" t="str">
        <f>T("   843120")</f>
        <v xml:space="preserve">   843120</v>
      </c>
      <c r="B783" t="str">
        <f>T("   Parties de chariots-gerbeurs et autres chariots de manutention munis d'un dispositif de levage, n.d.a.")</f>
        <v xml:space="preserve">   Parties de chariots-gerbeurs et autres chariots de manutention munis d'un dispositif de levage, n.d.a.</v>
      </c>
      <c r="C783">
        <v>85709241</v>
      </c>
      <c r="D783">
        <v>5922.9</v>
      </c>
    </row>
    <row r="784" spans="1:4" x14ac:dyDescent="0.25">
      <c r="A784" t="str">
        <f>T("   843139")</f>
        <v xml:space="preserve">   843139</v>
      </c>
      <c r="B784" t="str">
        <f>T("   Parties de machines et appareils du n° 8428, n.d.a.")</f>
        <v xml:space="preserve">   Parties de machines et appareils du n° 8428, n.d.a.</v>
      </c>
      <c r="C784">
        <v>21948768</v>
      </c>
      <c r="D784">
        <v>5611.5</v>
      </c>
    </row>
    <row r="785" spans="1:4" x14ac:dyDescent="0.25">
      <c r="A785" t="str">
        <f>T("   843141")</f>
        <v xml:space="preserve">   843141</v>
      </c>
      <c r="B785" t="str">
        <f>T("   Godets, bennes, bennes-preneuses, pelles, grappins et pinces pour machines et appareils du n° 8426, 8429 ou 8430")</f>
        <v xml:space="preserve">   Godets, bennes, bennes-preneuses, pelles, grappins et pinces pour machines et appareils du n° 8426, 8429 ou 8430</v>
      </c>
      <c r="C785">
        <v>7817075</v>
      </c>
      <c r="D785">
        <v>4309</v>
      </c>
    </row>
    <row r="786" spans="1:4" x14ac:dyDescent="0.25">
      <c r="A786" t="str">
        <f>T("   843149")</f>
        <v xml:space="preserve">   843149</v>
      </c>
      <c r="B786" t="str">
        <f>T("   Parties de machines et appareils du n° 8426, 8429 ou 8430, n.d.a.")</f>
        <v xml:space="preserve">   Parties de machines et appareils du n° 8426, 8429 ou 8430, n.d.a.</v>
      </c>
      <c r="C786">
        <v>193694176</v>
      </c>
      <c r="D786">
        <v>12408.9</v>
      </c>
    </row>
    <row r="787" spans="1:4" x14ac:dyDescent="0.25">
      <c r="A787" t="str">
        <f>T("   843210")</f>
        <v xml:space="preserve">   843210</v>
      </c>
      <c r="B787" t="str">
        <f>T("   Charrues pour l'agriculture, la sylviculture ou l'horticulture")</f>
        <v xml:space="preserve">   Charrues pour l'agriculture, la sylviculture ou l'horticulture</v>
      </c>
      <c r="C787">
        <v>393576</v>
      </c>
      <c r="D787">
        <v>4000</v>
      </c>
    </row>
    <row r="788" spans="1:4" x14ac:dyDescent="0.25">
      <c r="A788" t="str">
        <f>T("   843280")</f>
        <v xml:space="preserve">   843280</v>
      </c>
      <c r="B788" t="s">
        <v>434</v>
      </c>
      <c r="C788">
        <v>162074596</v>
      </c>
      <c r="D788">
        <v>40500</v>
      </c>
    </row>
    <row r="789" spans="1:4" x14ac:dyDescent="0.25">
      <c r="A789" t="str">
        <f>T("   843290")</f>
        <v xml:space="preserve">   843290</v>
      </c>
      <c r="B789"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789">
        <v>6717030</v>
      </c>
      <c r="D789">
        <v>15874</v>
      </c>
    </row>
    <row r="790" spans="1:4" x14ac:dyDescent="0.25">
      <c r="A790" t="str">
        <f>T("   843840")</f>
        <v xml:space="preserve">   843840</v>
      </c>
      <c r="B790"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790">
        <v>19004578</v>
      </c>
      <c r="D790">
        <v>10949</v>
      </c>
    </row>
    <row r="791" spans="1:4" x14ac:dyDescent="0.25">
      <c r="A791" t="str">
        <f>T("   843880")</f>
        <v xml:space="preserve">   843880</v>
      </c>
      <c r="B791" t="str">
        <f>T("   Machines et appareils pour la préparation ou la fabrication industrielles d'aliments ou de boissons, n.d.a.")</f>
        <v xml:space="preserve">   Machines et appareils pour la préparation ou la fabrication industrielles d'aliments ou de boissons, n.d.a.</v>
      </c>
      <c r="C791">
        <v>985000</v>
      </c>
      <c r="D791">
        <v>110</v>
      </c>
    </row>
    <row r="792" spans="1:4" x14ac:dyDescent="0.25">
      <c r="A792" t="str">
        <f>T("   843890")</f>
        <v xml:space="preserve">   843890</v>
      </c>
      <c r="B792"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792">
        <v>1623081</v>
      </c>
      <c r="D792">
        <v>41.5</v>
      </c>
    </row>
    <row r="793" spans="1:4" x14ac:dyDescent="0.25">
      <c r="A793" t="str">
        <f>T("   844180")</f>
        <v xml:space="preserve">   844180</v>
      </c>
      <c r="B793" t="str">
        <f>T("   Machines et appareils pour le travail de la pâte à papier, du papier ou du carton, n.d.a.")</f>
        <v xml:space="preserve">   Machines et appareils pour le travail de la pâte à papier, du papier ou du carton, n.d.a.</v>
      </c>
      <c r="C793">
        <v>15060284</v>
      </c>
      <c r="D793">
        <v>945</v>
      </c>
    </row>
    <row r="794" spans="1:4" x14ac:dyDescent="0.25">
      <c r="A794" t="str">
        <f>T("   844319")</f>
        <v xml:space="preserve">   844319</v>
      </c>
      <c r="B794" t="s">
        <v>443</v>
      </c>
      <c r="C794">
        <v>410231</v>
      </c>
      <c r="D794">
        <v>250</v>
      </c>
    </row>
    <row r="795" spans="1:4" x14ac:dyDescent="0.25">
      <c r="A795" t="str">
        <f>T("   844391")</f>
        <v xml:space="preserve">   844391</v>
      </c>
      <c r="B795"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795">
        <v>7760007</v>
      </c>
      <c r="D795">
        <v>2950</v>
      </c>
    </row>
    <row r="796" spans="1:4" x14ac:dyDescent="0.25">
      <c r="A796" t="str">
        <f>T("   844832")</f>
        <v xml:space="preserve">   844832</v>
      </c>
      <c r="B796" t="str">
        <f>T("   PARTIES ET ACCESSOIRES DE MACHINES POUR LA PRÉPARATION DES MATIÈRES TEXTILES, N.D.A. (AUTRES QUE LES GARNITURES DE CARDÉS)")</f>
        <v xml:space="preserve">   PARTIES ET ACCESSOIRES DE MACHINES POUR LA PRÉPARATION DES MATIÈRES TEXTILES, N.D.A. (AUTRES QUE LES GARNITURES DE CARDÉS)</v>
      </c>
      <c r="C796">
        <v>4897479</v>
      </c>
      <c r="D796">
        <v>644</v>
      </c>
    </row>
    <row r="797" spans="1:4" x14ac:dyDescent="0.25">
      <c r="A797" t="str">
        <f>T("   844839")</f>
        <v xml:space="preserve">   844839</v>
      </c>
      <c r="B797" t="str">
        <f>T("   Parties et accessoires des machines du n° 8445, n.d.a.")</f>
        <v xml:space="preserve">   Parties et accessoires des machines du n° 8445, n.d.a.</v>
      </c>
      <c r="C797">
        <v>4300000</v>
      </c>
      <c r="D797">
        <v>5395</v>
      </c>
    </row>
    <row r="798" spans="1:4" x14ac:dyDescent="0.25">
      <c r="A798" t="str">
        <f>T("   845020")</f>
        <v xml:space="preserve">   845020</v>
      </c>
      <c r="B798" t="str">
        <f>T("   Machines à laver le linge, capacité unitaire en poids de linge sec &gt; 10 kg")</f>
        <v xml:space="preserve">   Machines à laver le linge, capacité unitaire en poids de linge sec &gt; 10 kg</v>
      </c>
      <c r="C798">
        <v>1447048</v>
      </c>
      <c r="D798">
        <v>290</v>
      </c>
    </row>
    <row r="799" spans="1:4" x14ac:dyDescent="0.25">
      <c r="A799" t="str">
        <f>T("   845210")</f>
        <v xml:space="preserve">   845210</v>
      </c>
      <c r="B799" t="str">
        <f>T("   Machines à coudre de type ménager")</f>
        <v xml:space="preserve">   Machines à coudre de type ménager</v>
      </c>
      <c r="C799">
        <v>55579</v>
      </c>
      <c r="D799">
        <v>350</v>
      </c>
    </row>
    <row r="800" spans="1:4" x14ac:dyDescent="0.25">
      <c r="A800" t="str">
        <f>T("   845819")</f>
        <v xml:space="preserve">   845819</v>
      </c>
      <c r="B800" t="str">
        <f>T("   Tours horizontaux, y.c. les centres de tournage, travaillant par enlèvement de métal (autres qu'à commande numérique)")</f>
        <v xml:space="preserve">   Tours horizontaux, y.c. les centres de tournage, travaillant par enlèvement de métal (autres qu'à commande numérique)</v>
      </c>
      <c r="C800">
        <v>14095268</v>
      </c>
      <c r="D800">
        <v>3110</v>
      </c>
    </row>
    <row r="801" spans="1:4" x14ac:dyDescent="0.25">
      <c r="A801" t="str">
        <f>T("   845899")</f>
        <v xml:space="preserve">   845899</v>
      </c>
      <c r="B801" t="s">
        <v>449</v>
      </c>
      <c r="C801">
        <v>9664915</v>
      </c>
      <c r="D801">
        <v>11280</v>
      </c>
    </row>
    <row r="802" spans="1:4" x14ac:dyDescent="0.25">
      <c r="A802" t="str">
        <f>T("   846291")</f>
        <v xml:space="preserve">   846291</v>
      </c>
      <c r="B802"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802">
        <v>4722912</v>
      </c>
      <c r="D802">
        <v>340</v>
      </c>
    </row>
    <row r="803" spans="1:4" x14ac:dyDescent="0.25">
      <c r="A803" t="str">
        <f>T("   846595")</f>
        <v xml:space="preserve">   846595</v>
      </c>
      <c r="B803" t="s">
        <v>454</v>
      </c>
      <c r="C803">
        <v>459172</v>
      </c>
      <c r="D803">
        <v>3250</v>
      </c>
    </row>
    <row r="804" spans="1:4" x14ac:dyDescent="0.25">
      <c r="A804" t="str">
        <f>T("   846599")</f>
        <v xml:space="preserve">   846599</v>
      </c>
      <c r="B804" t="s">
        <v>455</v>
      </c>
      <c r="C804">
        <v>2321895</v>
      </c>
      <c r="D804">
        <v>8328</v>
      </c>
    </row>
    <row r="805" spans="1:4" x14ac:dyDescent="0.25">
      <c r="A805" t="str">
        <f>T("   846630")</f>
        <v xml:space="preserve">   846630</v>
      </c>
      <c r="B805" t="str">
        <f>T("   Dispositifs diviseurs et autres dispositifs spéciaux se montant sur machines-outils, n.d.a.")</f>
        <v xml:space="preserve">   Dispositifs diviseurs et autres dispositifs spéciaux se montant sur machines-outils, n.d.a.</v>
      </c>
      <c r="C805">
        <v>370000</v>
      </c>
      <c r="D805">
        <v>180</v>
      </c>
    </row>
    <row r="806" spans="1:4" x14ac:dyDescent="0.25">
      <c r="A806" t="str">
        <f>T("   846692")</f>
        <v xml:space="preserve">   846692</v>
      </c>
      <c r="B806" t="str">
        <f>T("   Parties et accessoires pour machines-outils pour le travail du bois, des matières plastiques dures, etc., n.d.a.")</f>
        <v xml:space="preserve">   Parties et accessoires pour machines-outils pour le travail du bois, des matières plastiques dures, etc., n.d.a.</v>
      </c>
      <c r="C806">
        <v>6413977</v>
      </c>
      <c r="D806">
        <v>960</v>
      </c>
    </row>
    <row r="807" spans="1:4" x14ac:dyDescent="0.25">
      <c r="A807" t="str">
        <f>T("   846693")</f>
        <v xml:space="preserve">   846693</v>
      </c>
      <c r="B807" t="str">
        <f>T("   Parties et accessoires pour machines-outils pour le travail du métal avec enlèvement de métal, n.d.a.")</f>
        <v xml:space="preserve">   Parties et accessoires pour machines-outils pour le travail du métal avec enlèvement de métal, n.d.a.</v>
      </c>
      <c r="C807">
        <v>296651</v>
      </c>
      <c r="D807">
        <v>18</v>
      </c>
    </row>
    <row r="808" spans="1:4" x14ac:dyDescent="0.25">
      <c r="A808" t="str">
        <f>T("   846721")</f>
        <v xml:space="preserve">   846721</v>
      </c>
      <c r="B808" t="str">
        <f>T("   Perceuses à moteur électrique incorporé, pour emploi à la main, y.c. les perforatrices rotatives")</f>
        <v xml:space="preserve">   Perceuses à moteur électrique incorporé, pour emploi à la main, y.c. les perforatrices rotatives</v>
      </c>
      <c r="C808">
        <v>8861364</v>
      </c>
      <c r="D808">
        <v>600</v>
      </c>
    </row>
    <row r="809" spans="1:4" x14ac:dyDescent="0.25">
      <c r="A809" t="str">
        <f>T("   846799")</f>
        <v xml:space="preserve">   846799</v>
      </c>
      <c r="B809" t="str">
        <f>T("   Parties d'outils pour emploi à la main, hydrauliques ou à moteur électrique ou non électrique incorporé, n.d.a.")</f>
        <v xml:space="preserve">   Parties d'outils pour emploi à la main, hydrauliques ou à moteur électrique ou non électrique incorporé, n.d.a.</v>
      </c>
      <c r="C809">
        <v>6293936</v>
      </c>
      <c r="D809">
        <v>678</v>
      </c>
    </row>
    <row r="810" spans="1:4" x14ac:dyDescent="0.25">
      <c r="A810" t="str">
        <f>T("   847090")</f>
        <v xml:space="preserve">   847090</v>
      </c>
      <c r="B810"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810">
        <v>1336191</v>
      </c>
      <c r="D810">
        <v>3954</v>
      </c>
    </row>
    <row r="811" spans="1:4" x14ac:dyDescent="0.25">
      <c r="A811" t="str">
        <f>T("   847130")</f>
        <v xml:space="preserve">   847130</v>
      </c>
      <c r="B811"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11">
        <v>3364419</v>
      </c>
      <c r="D811">
        <v>1050</v>
      </c>
    </row>
    <row r="812" spans="1:4" x14ac:dyDescent="0.25">
      <c r="A812" t="str">
        <f>T("   847141")</f>
        <v xml:space="preserve">   847141</v>
      </c>
      <c r="B812" t="s">
        <v>458</v>
      </c>
      <c r="C812">
        <v>286440</v>
      </c>
      <c r="D812">
        <v>605</v>
      </c>
    </row>
    <row r="813" spans="1:4" x14ac:dyDescent="0.25">
      <c r="A813" t="str">
        <f>T("   847149")</f>
        <v xml:space="preserve">   847149</v>
      </c>
      <c r="B813" t="s">
        <v>459</v>
      </c>
      <c r="C813">
        <v>7096819</v>
      </c>
      <c r="D813">
        <v>14422</v>
      </c>
    </row>
    <row r="814" spans="1:4" x14ac:dyDescent="0.25">
      <c r="A814" t="str">
        <f>T("   847180")</f>
        <v xml:space="preserve">   847180</v>
      </c>
      <c r="B81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14">
        <v>59700854</v>
      </c>
      <c r="D814">
        <v>29349</v>
      </c>
    </row>
    <row r="815" spans="1:4" x14ac:dyDescent="0.25">
      <c r="A815" t="str">
        <f>T("   847190")</f>
        <v xml:space="preserve">   847190</v>
      </c>
      <c r="B81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15">
        <v>3671715</v>
      </c>
      <c r="D815">
        <v>2015.68</v>
      </c>
    </row>
    <row r="816" spans="1:4" x14ac:dyDescent="0.25">
      <c r="A816" t="str">
        <f>T("   847290")</f>
        <v xml:space="preserve">   847290</v>
      </c>
      <c r="B816" t="str">
        <f>T("   Machines et appareils de bureau, n.d.a.")</f>
        <v xml:space="preserve">   Machines et appareils de bureau, n.d.a.</v>
      </c>
      <c r="C816">
        <v>1140021</v>
      </c>
      <c r="D816">
        <v>544</v>
      </c>
    </row>
    <row r="817" spans="1:4" x14ac:dyDescent="0.25">
      <c r="A817" t="str">
        <f>T("   847330")</f>
        <v xml:space="preserve">   847330</v>
      </c>
      <c r="B817" t="str">
        <f>T("   Parties et accessoires pour machines automatiques de traitement de l'information ou pour autres machines du n° 8471, n.d.a.")</f>
        <v xml:space="preserve">   Parties et accessoires pour machines automatiques de traitement de l'information ou pour autres machines du n° 8471, n.d.a.</v>
      </c>
      <c r="C817">
        <v>28887344</v>
      </c>
      <c r="D817">
        <v>2756</v>
      </c>
    </row>
    <row r="818" spans="1:4" x14ac:dyDescent="0.25">
      <c r="A818" t="str">
        <f>T("   847420")</f>
        <v xml:space="preserve">   847420</v>
      </c>
      <c r="B818" t="str">
        <f>T("   Machines et appareils à concasser, broyer ou pulvériser les matières minérales solides")</f>
        <v xml:space="preserve">   Machines et appareils à concasser, broyer ou pulvériser les matières minérales solides</v>
      </c>
      <c r="C818">
        <v>7000005</v>
      </c>
      <c r="D818">
        <v>10000</v>
      </c>
    </row>
    <row r="819" spans="1:4" x14ac:dyDescent="0.25">
      <c r="A819" t="str">
        <f>T("   847480")</f>
        <v xml:space="preserve">   847480</v>
      </c>
      <c r="B819" t="s">
        <v>462</v>
      </c>
      <c r="C819">
        <v>1476511</v>
      </c>
      <c r="D819">
        <v>169</v>
      </c>
    </row>
    <row r="820" spans="1:4" x14ac:dyDescent="0.25">
      <c r="A820" t="str">
        <f>T("   847490")</f>
        <v xml:space="preserve">   847490</v>
      </c>
      <c r="B820" t="str">
        <f>T("   Parties des machines et appareils pour le travail des matières minérales du n° 8474, n.d.a.")</f>
        <v xml:space="preserve">   Parties des machines et appareils pour le travail des matières minérales du n° 8474, n.d.a.</v>
      </c>
      <c r="C820">
        <v>58739027</v>
      </c>
      <c r="D820">
        <v>13998</v>
      </c>
    </row>
    <row r="821" spans="1:4" x14ac:dyDescent="0.25">
      <c r="A821" t="str">
        <f>T("   847982")</f>
        <v xml:space="preserve">   847982</v>
      </c>
      <c r="B821"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821">
        <v>21204400</v>
      </c>
      <c r="D821">
        <v>1898</v>
      </c>
    </row>
    <row r="822" spans="1:4" x14ac:dyDescent="0.25">
      <c r="A822" t="str">
        <f>T("   847989")</f>
        <v xml:space="preserve">   847989</v>
      </c>
      <c r="B822" t="str">
        <f>T("   Machines et appareils, y.c. les appareils mécaniques, n.d.a.")</f>
        <v xml:space="preserve">   Machines et appareils, y.c. les appareils mécaniques, n.d.a.</v>
      </c>
      <c r="C822">
        <v>153171252</v>
      </c>
      <c r="D822">
        <v>2138</v>
      </c>
    </row>
    <row r="823" spans="1:4" x14ac:dyDescent="0.25">
      <c r="A823" t="str">
        <f>T("   847990")</f>
        <v xml:space="preserve">   847990</v>
      </c>
      <c r="B823" t="str">
        <f>T("   Parties de machines et appareils, y.c. les appareils mécaniques, n.d.a.")</f>
        <v xml:space="preserve">   Parties de machines et appareils, y.c. les appareils mécaniques, n.d.a.</v>
      </c>
      <c r="C823">
        <v>10679131</v>
      </c>
      <c r="D823">
        <v>353.4</v>
      </c>
    </row>
    <row r="824" spans="1:4" x14ac:dyDescent="0.25">
      <c r="A824" t="str">
        <f>T("   848120")</f>
        <v xml:space="preserve">   848120</v>
      </c>
      <c r="B824" t="str">
        <f>T("   Valves pour transmissions oléohydrauliques ou pneumatiques")</f>
        <v xml:space="preserve">   Valves pour transmissions oléohydrauliques ou pneumatiques</v>
      </c>
      <c r="C824">
        <v>15059020</v>
      </c>
      <c r="D824">
        <v>1425</v>
      </c>
    </row>
    <row r="825" spans="1:4" x14ac:dyDescent="0.25">
      <c r="A825" t="str">
        <f>T("   848130")</f>
        <v xml:space="preserve">   848130</v>
      </c>
      <c r="B825" t="str">
        <f>T("   Clapets et soupapes de retenue, pour tuyauteries, chaudières, réservoirs, cuves ou contenants simil.")</f>
        <v xml:space="preserve">   Clapets et soupapes de retenue, pour tuyauteries, chaudières, réservoirs, cuves ou contenants simil.</v>
      </c>
      <c r="C825">
        <v>1212778</v>
      </c>
      <c r="D825">
        <v>33</v>
      </c>
    </row>
    <row r="826" spans="1:4" x14ac:dyDescent="0.25">
      <c r="A826" t="str">
        <f>T("   848180")</f>
        <v xml:space="preserve">   848180</v>
      </c>
      <c r="B82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26">
        <v>84014522</v>
      </c>
      <c r="D826">
        <v>7974.9</v>
      </c>
    </row>
    <row r="827" spans="1:4" x14ac:dyDescent="0.25">
      <c r="A827" t="str">
        <f>T("   848280")</f>
        <v xml:space="preserve">   848280</v>
      </c>
      <c r="B827" t="s">
        <v>467</v>
      </c>
      <c r="C827">
        <v>7555056</v>
      </c>
      <c r="D827">
        <v>727</v>
      </c>
    </row>
    <row r="828" spans="1:4" x14ac:dyDescent="0.25">
      <c r="A828" t="str">
        <f>T("   848299")</f>
        <v xml:space="preserve">   848299</v>
      </c>
      <c r="B828" t="str">
        <f>T("   Parties de roulements à billes, à galets, à rouleaux ou à aiguilles (à l'excl. de leur organe de roulement), n.d.a.")</f>
        <v xml:space="preserve">   Parties de roulements à billes, à galets, à rouleaux ou à aiguilles (à l'excl. de leur organe de roulement), n.d.a.</v>
      </c>
      <c r="C828">
        <v>1891369</v>
      </c>
      <c r="D828">
        <v>74</v>
      </c>
    </row>
    <row r="829" spans="1:4" x14ac:dyDescent="0.25">
      <c r="A829" t="str">
        <f>T("   848310")</f>
        <v xml:space="preserve">   848310</v>
      </c>
      <c r="B829" t="str">
        <f>T("   Arbres de transmission pour machines, y.c. -les arbres à cames et les vilebrequins- et manivelles")</f>
        <v xml:space="preserve">   Arbres de transmission pour machines, y.c. -les arbres à cames et les vilebrequins- et manivelles</v>
      </c>
      <c r="C829">
        <v>164356</v>
      </c>
      <c r="D829">
        <v>13</v>
      </c>
    </row>
    <row r="830" spans="1:4" x14ac:dyDescent="0.25">
      <c r="A830" t="str">
        <f>T("   848330")</f>
        <v xml:space="preserve">   848330</v>
      </c>
      <c r="B830" t="str">
        <f>T("   Paliers pour machines, sans roulements incorporés; coussinets et coquilles de coussinets pour machines")</f>
        <v xml:space="preserve">   Paliers pour machines, sans roulements incorporés; coussinets et coquilles de coussinets pour machines</v>
      </c>
      <c r="C830">
        <v>4374585</v>
      </c>
      <c r="D830">
        <v>267</v>
      </c>
    </row>
    <row r="831" spans="1:4" x14ac:dyDescent="0.25">
      <c r="A831" t="str">
        <f>T("   848340")</f>
        <v xml:space="preserve">   848340</v>
      </c>
      <c r="B831" t="s">
        <v>468</v>
      </c>
      <c r="C831">
        <v>79948</v>
      </c>
      <c r="D831">
        <v>3</v>
      </c>
    </row>
    <row r="832" spans="1:4" x14ac:dyDescent="0.25">
      <c r="A832" t="str">
        <f>T("   848360")</f>
        <v xml:space="preserve">   848360</v>
      </c>
      <c r="B832" t="str">
        <f>T("   Embrayages et organes d'accouplement, y.c. les joints d'articulation, pour machines")</f>
        <v xml:space="preserve">   Embrayages et organes d'accouplement, y.c. les joints d'articulation, pour machines</v>
      </c>
      <c r="C832">
        <v>9047907</v>
      </c>
      <c r="D832">
        <v>348</v>
      </c>
    </row>
    <row r="833" spans="1:4" x14ac:dyDescent="0.25">
      <c r="A833" t="str">
        <f>T("   848390")</f>
        <v xml:space="preserve">   848390</v>
      </c>
      <c r="B833"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833">
        <v>146168878</v>
      </c>
      <c r="D833">
        <v>66921</v>
      </c>
    </row>
    <row r="834" spans="1:4" x14ac:dyDescent="0.25">
      <c r="A834" t="str">
        <f>T("   848410")</f>
        <v xml:space="preserve">   848410</v>
      </c>
      <c r="B834" t="str">
        <f>T("   Joints métalloplastiques")</f>
        <v xml:space="preserve">   Joints métalloplastiques</v>
      </c>
      <c r="C834">
        <v>1807327</v>
      </c>
      <c r="D834">
        <v>30</v>
      </c>
    </row>
    <row r="835" spans="1:4" x14ac:dyDescent="0.25">
      <c r="A835" t="str">
        <f>T("   848420")</f>
        <v xml:space="preserve">   848420</v>
      </c>
      <c r="B835" t="str">
        <f>T("   Joints d'étanchéité mécaniques")</f>
        <v xml:space="preserve">   Joints d'étanchéité mécaniques</v>
      </c>
      <c r="C835">
        <v>6167362</v>
      </c>
      <c r="D835">
        <v>2.5</v>
      </c>
    </row>
    <row r="836" spans="1:4" x14ac:dyDescent="0.25">
      <c r="A836" t="str">
        <f>T("   848490")</f>
        <v xml:space="preserve">   848490</v>
      </c>
      <c r="B836" t="str">
        <f>T("   Jeux ou assortiments de joints de composition différente présentés en pochettes, enveloppes ou emballages analogues")</f>
        <v xml:space="preserve">   Jeux ou assortiments de joints de composition différente présentés en pochettes, enveloppes ou emballages analogues</v>
      </c>
      <c r="C836">
        <v>27669127</v>
      </c>
      <c r="D836">
        <v>1128.9000000000001</v>
      </c>
    </row>
    <row r="837" spans="1:4" x14ac:dyDescent="0.25">
      <c r="A837" t="str">
        <f>T("   848790")</f>
        <v xml:space="preserve">   848790</v>
      </c>
      <c r="B837" t="str">
        <f>T("   PARTIES DE MACHINES ET APPAREILS DU CHAPITRE 84, SANS CARACTÉRISTIQUES SPÉCIALES D'UTILISATION, N.D.A.")</f>
        <v xml:space="preserve">   PARTIES DE MACHINES ET APPAREILS DU CHAPITRE 84, SANS CARACTÉRISTIQUES SPÉCIALES D'UTILISATION, N.D.A.</v>
      </c>
      <c r="C837">
        <v>2045108</v>
      </c>
      <c r="D837">
        <v>187</v>
      </c>
    </row>
    <row r="838" spans="1:4" x14ac:dyDescent="0.25">
      <c r="A838" t="str">
        <f>T("   850110")</f>
        <v xml:space="preserve">   850110</v>
      </c>
      <c r="B838" t="str">
        <f>T("   Moteurs d'une puissance &lt;= 37,5 W")</f>
        <v xml:space="preserve">   Moteurs d'une puissance &lt;= 37,5 W</v>
      </c>
      <c r="C838">
        <v>7499591</v>
      </c>
      <c r="D838">
        <v>4800</v>
      </c>
    </row>
    <row r="839" spans="1:4" x14ac:dyDescent="0.25">
      <c r="A839" t="str">
        <f>T("   850152")</f>
        <v xml:space="preserve">   850152</v>
      </c>
      <c r="B839" t="str">
        <f>T("   Moteurs à courant alternatif, polyphasés, puissance &gt; 750 W mais &lt;= 75 kW")</f>
        <v xml:space="preserve">   Moteurs à courant alternatif, polyphasés, puissance &gt; 750 W mais &lt;= 75 kW</v>
      </c>
      <c r="C839">
        <v>1290352</v>
      </c>
      <c r="D839">
        <v>60</v>
      </c>
    </row>
    <row r="840" spans="1:4" x14ac:dyDescent="0.25">
      <c r="A840" t="str">
        <f>T("   850161")</f>
        <v xml:space="preserve">   850161</v>
      </c>
      <c r="B840" t="str">
        <f>T("   Alternateurs, puissance &lt;= 75 kVA")</f>
        <v xml:space="preserve">   Alternateurs, puissance &lt;= 75 kVA</v>
      </c>
      <c r="C840">
        <v>56987948</v>
      </c>
      <c r="D840">
        <v>11537</v>
      </c>
    </row>
    <row r="841" spans="1:4" x14ac:dyDescent="0.25">
      <c r="A841" t="str">
        <f>T("   850211")</f>
        <v xml:space="preserve">   850211</v>
      </c>
      <c r="B841" t="s">
        <v>470</v>
      </c>
      <c r="C841">
        <v>31655995</v>
      </c>
      <c r="D841">
        <v>5977</v>
      </c>
    </row>
    <row r="842" spans="1:4" x14ac:dyDescent="0.25">
      <c r="A842" t="str">
        <f>T("   850239")</f>
        <v xml:space="preserve">   850239</v>
      </c>
      <c r="B842" t="str">
        <f>T("   Groupes électrogènes (autres qu'à énergie éolienne et à moteurs à piston)")</f>
        <v xml:space="preserve">   Groupes électrogènes (autres qu'à énergie éolienne et à moteurs à piston)</v>
      </c>
      <c r="C842">
        <v>9627723</v>
      </c>
      <c r="D842">
        <v>5453</v>
      </c>
    </row>
    <row r="843" spans="1:4" x14ac:dyDescent="0.25">
      <c r="A843" t="str">
        <f>T("   850300")</f>
        <v xml:space="preserve">   850300</v>
      </c>
      <c r="B84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43">
        <v>25482494</v>
      </c>
      <c r="D843">
        <v>22377</v>
      </c>
    </row>
    <row r="844" spans="1:4" x14ac:dyDescent="0.25">
      <c r="A844" t="str">
        <f>T("   850410")</f>
        <v xml:space="preserve">   850410</v>
      </c>
      <c r="B844" t="str">
        <f>T("   Ballasts pour lampes ou tubes à décharge")</f>
        <v xml:space="preserve">   Ballasts pour lampes ou tubes à décharge</v>
      </c>
      <c r="C844">
        <v>2117194</v>
      </c>
      <c r="D844">
        <v>3</v>
      </c>
    </row>
    <row r="845" spans="1:4" x14ac:dyDescent="0.25">
      <c r="A845" t="str">
        <f>T("   850431")</f>
        <v xml:space="preserve">   850431</v>
      </c>
      <c r="B845" t="str">
        <f>T("   Transformateurs à sec, puissance &lt;= 1 kVA")</f>
        <v xml:space="preserve">   Transformateurs à sec, puissance &lt;= 1 kVA</v>
      </c>
      <c r="C845">
        <v>148660</v>
      </c>
      <c r="D845">
        <v>2</v>
      </c>
    </row>
    <row r="846" spans="1:4" x14ac:dyDescent="0.25">
      <c r="A846" t="str">
        <f>T("   850434")</f>
        <v xml:space="preserve">   850434</v>
      </c>
      <c r="B846" t="str">
        <f>T("   Transformateurs à sec, puissance &gt; 500 kVA")</f>
        <v xml:space="preserve">   Transformateurs à sec, puissance &gt; 500 kVA</v>
      </c>
      <c r="C846">
        <v>11422887</v>
      </c>
      <c r="D846">
        <v>17995</v>
      </c>
    </row>
    <row r="847" spans="1:4" x14ac:dyDescent="0.25">
      <c r="A847" t="str">
        <f>T("   850440")</f>
        <v xml:space="preserve">   850440</v>
      </c>
      <c r="B847" t="str">
        <f>T("   CONVERTISSEURS STATIQUES")</f>
        <v xml:space="preserve">   CONVERTISSEURS STATIQUES</v>
      </c>
      <c r="C847">
        <v>80416314</v>
      </c>
      <c r="D847">
        <v>6191</v>
      </c>
    </row>
    <row r="848" spans="1:4" x14ac:dyDescent="0.25">
      <c r="A848" t="str">
        <f>T("   850490")</f>
        <v xml:space="preserve">   850490</v>
      </c>
      <c r="B848" t="str">
        <f>T("   Parties de transformateurs, de bobines de réactance et selfs n.d.a.")</f>
        <v xml:space="preserve">   Parties de transformateurs, de bobines de réactance et selfs n.d.a.</v>
      </c>
      <c r="C848">
        <v>5767194</v>
      </c>
      <c r="D848">
        <v>452</v>
      </c>
    </row>
    <row r="849" spans="1:4" x14ac:dyDescent="0.25">
      <c r="A849" t="str">
        <f>T("   850590")</f>
        <v xml:space="preserve">   850590</v>
      </c>
      <c r="B849"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849">
        <v>44076097</v>
      </c>
      <c r="D849">
        <v>25692</v>
      </c>
    </row>
    <row r="850" spans="1:4" x14ac:dyDescent="0.25">
      <c r="A850" t="str">
        <f>T("   850710")</f>
        <v xml:space="preserve">   850710</v>
      </c>
      <c r="B850" t="str">
        <f>T("   Accumulateurs au plomb, pour le démarrage des moteurs à piston (sauf hors d'usage)")</f>
        <v xml:space="preserve">   Accumulateurs au plomb, pour le démarrage des moteurs à piston (sauf hors d'usage)</v>
      </c>
      <c r="C850">
        <v>4215000</v>
      </c>
      <c r="D850">
        <v>21589</v>
      </c>
    </row>
    <row r="851" spans="1:4" x14ac:dyDescent="0.25">
      <c r="A851" t="str">
        <f>T("   850720")</f>
        <v xml:space="preserve">   850720</v>
      </c>
      <c r="B851" t="str">
        <f>T("   Accumulateurs au plomb (sauf hors d'usage et autres que pour le démarrage des moteurs à piston)")</f>
        <v xml:space="preserve">   Accumulateurs au plomb (sauf hors d'usage et autres que pour le démarrage des moteurs à piston)</v>
      </c>
      <c r="C851">
        <v>67309603</v>
      </c>
      <c r="D851">
        <v>7516</v>
      </c>
    </row>
    <row r="852" spans="1:4" x14ac:dyDescent="0.25">
      <c r="A852" t="str">
        <f>T("   850780")</f>
        <v xml:space="preserve">   850780</v>
      </c>
      <c r="B852" t="str">
        <f>T("   Accumulateurs électriques (sauf hors d'usage et autres qu'au plomb, au nickel-cadmium ou au nickel-fer)")</f>
        <v xml:space="preserve">   Accumulateurs électriques (sauf hors d'usage et autres qu'au plomb, au nickel-cadmium ou au nickel-fer)</v>
      </c>
      <c r="C852">
        <v>116065248</v>
      </c>
      <c r="D852">
        <v>45432</v>
      </c>
    </row>
    <row r="853" spans="1:4" x14ac:dyDescent="0.25">
      <c r="A853" t="str">
        <f>T("   850860")</f>
        <v xml:space="preserve">   850860</v>
      </c>
      <c r="B853" t="str">
        <f>T("   ASPIRATEURS, Y.C. LES ASPIRATEURS DE MATIÈRES SÈCHES ET DE MATIÈRES LIQUIDES (À L'EXCL. DES ASPIRATEURS À MOTEUR ÉLECTRIQUE INCORPORÉ)")</f>
        <v xml:space="preserve">   ASPIRATEURS, Y.C. LES ASPIRATEURS DE MATIÈRES SÈCHES ET DE MATIÈRES LIQUIDES (À L'EXCL. DES ASPIRATEURS À MOTEUR ÉLECTRIQUE INCORPORÉ)</v>
      </c>
      <c r="C853">
        <v>100000</v>
      </c>
      <c r="D853">
        <v>82</v>
      </c>
    </row>
    <row r="854" spans="1:4" x14ac:dyDescent="0.25">
      <c r="A854" t="str">
        <f>T("   850980")</f>
        <v xml:space="preserve">   850980</v>
      </c>
      <c r="B854" t="s">
        <v>473</v>
      </c>
      <c r="C854">
        <v>1110767</v>
      </c>
      <c r="D854">
        <v>571</v>
      </c>
    </row>
    <row r="855" spans="1:4" x14ac:dyDescent="0.25">
      <c r="A855" t="str">
        <f>T("   851140")</f>
        <v xml:space="preserve">   851140</v>
      </c>
      <c r="B855" t="str">
        <f>T("   Démarreurs, même fonctionnant comme génératrices, pour moteurs à allumage par étincelles ou par compression")</f>
        <v xml:space="preserve">   Démarreurs, même fonctionnant comme génératrices, pour moteurs à allumage par étincelles ou par compression</v>
      </c>
      <c r="C855">
        <v>3181060</v>
      </c>
      <c r="D855">
        <v>106</v>
      </c>
    </row>
    <row r="856" spans="1:4" x14ac:dyDescent="0.25">
      <c r="A856" t="str">
        <f>T("   851150")</f>
        <v xml:space="preserve">   851150</v>
      </c>
      <c r="B856"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856">
        <v>490131</v>
      </c>
      <c r="D856">
        <v>37</v>
      </c>
    </row>
    <row r="857" spans="1:4" x14ac:dyDescent="0.25">
      <c r="A857" t="str">
        <f>T("   851190")</f>
        <v xml:space="preserve">   851190</v>
      </c>
      <c r="B857" t="str">
        <f>T("   Parties des appareils et dispositifs électriques d'allumage et de démarrage, génératrices etc. du n° 8511, n.d.a.")</f>
        <v xml:space="preserve">   Parties des appareils et dispositifs électriques d'allumage et de démarrage, génératrices etc. du n° 8511, n.d.a.</v>
      </c>
      <c r="C857">
        <v>105997</v>
      </c>
      <c r="D857">
        <v>4.26</v>
      </c>
    </row>
    <row r="858" spans="1:4" x14ac:dyDescent="0.25">
      <c r="A858" t="str">
        <f>T("   851210")</f>
        <v xml:space="preserve">   851210</v>
      </c>
      <c r="B858" t="s">
        <v>475</v>
      </c>
      <c r="C858">
        <v>118993112</v>
      </c>
      <c r="D858">
        <v>9234</v>
      </c>
    </row>
    <row r="859" spans="1:4" x14ac:dyDescent="0.25">
      <c r="A859" t="str">
        <f>T("   851220")</f>
        <v xml:space="preserve">   851220</v>
      </c>
      <c r="B859" t="str">
        <f>T("   Appareils électriques d'éclairage ou de signalisation visuelle, pour automobiles (à l'excl. des lampes du n° 8539)")</f>
        <v xml:space="preserve">   Appareils électriques d'éclairage ou de signalisation visuelle, pour automobiles (à l'excl. des lampes du n° 8539)</v>
      </c>
      <c r="C859">
        <v>56826</v>
      </c>
      <c r="D859">
        <v>1</v>
      </c>
    </row>
    <row r="860" spans="1:4" x14ac:dyDescent="0.25">
      <c r="A860" t="str">
        <f>T("   851529")</f>
        <v xml:space="preserve">   851529</v>
      </c>
      <c r="B860" t="str">
        <f>T("   MACHINES ET APPAREILS POUR LE SOUDAGE DES MÉTAUX PAR RÉSISTANCE, NON-AUTOMATIQUES")</f>
        <v xml:space="preserve">   MACHINES ET APPAREILS POUR LE SOUDAGE DES MÉTAUX PAR RÉSISTANCE, NON-AUTOMATIQUES</v>
      </c>
      <c r="C860">
        <v>2748472</v>
      </c>
      <c r="D860">
        <v>1397</v>
      </c>
    </row>
    <row r="861" spans="1:4" x14ac:dyDescent="0.25">
      <c r="A861" t="str">
        <f>T("   851539")</f>
        <v xml:space="preserve">   851539</v>
      </c>
      <c r="B861" t="str">
        <f>T("   MACHINES ET APPAREILS POUR LE SOUDAGE DES MÉTAUX À L'ARC OU AU JET DE PLASMA, NON-AUTOMATIQUES")</f>
        <v xml:space="preserve">   MACHINES ET APPAREILS POUR LE SOUDAGE DES MÉTAUX À L'ARC OU AU JET DE PLASMA, NON-AUTOMATIQUES</v>
      </c>
      <c r="C861">
        <v>327980</v>
      </c>
      <c r="D861">
        <v>2200</v>
      </c>
    </row>
    <row r="862" spans="1:4" x14ac:dyDescent="0.25">
      <c r="A862" t="str">
        <f>T("   851610")</f>
        <v xml:space="preserve">   851610</v>
      </c>
      <c r="B862" t="str">
        <f>T("   Chauffe-eau et thermoplongeurs électriques")</f>
        <v xml:space="preserve">   Chauffe-eau et thermoplongeurs électriques</v>
      </c>
      <c r="C862">
        <v>2369164</v>
      </c>
      <c r="D862">
        <v>70</v>
      </c>
    </row>
    <row r="863" spans="1:4" x14ac:dyDescent="0.25">
      <c r="A863" t="str">
        <f>T("   851660")</f>
        <v xml:space="preserve">   851660</v>
      </c>
      <c r="B863"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863">
        <v>277471</v>
      </c>
      <c r="D863">
        <v>1656</v>
      </c>
    </row>
    <row r="864" spans="1:4" x14ac:dyDescent="0.25">
      <c r="A864" t="str">
        <f>T("   851712")</f>
        <v xml:space="preserve">   851712</v>
      </c>
      <c r="B864" t="str">
        <f>T("   TÉLÉPHONES POUR RÉSEAUX CELLULAIRES [TÉLÉPHONES MOBILES] ET POUR AUTRES RÉSEAUX SANS FIL")</f>
        <v xml:space="preserve">   TÉLÉPHONES POUR RÉSEAUX CELLULAIRES [TÉLÉPHONES MOBILES] ET POUR AUTRES RÉSEAUX SANS FIL</v>
      </c>
      <c r="C864">
        <v>206722550</v>
      </c>
      <c r="D864">
        <v>626</v>
      </c>
    </row>
    <row r="865" spans="1:4" x14ac:dyDescent="0.25">
      <c r="A865" t="str">
        <f>T("   851718")</f>
        <v xml:space="preserve">   851718</v>
      </c>
      <c r="B865"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865">
        <v>7122472</v>
      </c>
      <c r="D865">
        <v>3215</v>
      </c>
    </row>
    <row r="866" spans="1:4" x14ac:dyDescent="0.25">
      <c r="A866" t="str">
        <f>T("   851762")</f>
        <v xml:space="preserve">   851762</v>
      </c>
      <c r="B866" t="s">
        <v>480</v>
      </c>
      <c r="C866">
        <v>1022124031</v>
      </c>
      <c r="D866">
        <v>24720</v>
      </c>
    </row>
    <row r="867" spans="1:4" x14ac:dyDescent="0.25">
      <c r="A867" t="str">
        <f>T("   851769")</f>
        <v xml:space="preserve">   851769</v>
      </c>
      <c r="B867" t="s">
        <v>481</v>
      </c>
      <c r="C867">
        <v>439611492</v>
      </c>
      <c r="D867">
        <v>14363.7</v>
      </c>
    </row>
    <row r="868" spans="1:4" x14ac:dyDescent="0.25">
      <c r="A868" t="str">
        <f>T("   851770")</f>
        <v xml:space="preserve">   851770</v>
      </c>
      <c r="B868"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868">
        <v>187719329</v>
      </c>
      <c r="D868">
        <v>9097</v>
      </c>
    </row>
    <row r="869" spans="1:4" x14ac:dyDescent="0.25">
      <c r="A869" t="str">
        <f>T("   851829")</f>
        <v xml:space="preserve">   851829</v>
      </c>
      <c r="B869" t="str">
        <f>T("   Haut-parleurs sans enceinte")</f>
        <v xml:space="preserve">   Haut-parleurs sans enceinte</v>
      </c>
      <c r="C869">
        <v>2291925</v>
      </c>
      <c r="D869">
        <v>650</v>
      </c>
    </row>
    <row r="870" spans="1:4" x14ac:dyDescent="0.25">
      <c r="A870" t="str">
        <f>T("   851830")</f>
        <v xml:space="preserve">   851830</v>
      </c>
      <c r="B870" t="s">
        <v>484</v>
      </c>
      <c r="C870">
        <v>373942</v>
      </c>
      <c r="D870">
        <v>64</v>
      </c>
    </row>
    <row r="871" spans="1:4" x14ac:dyDescent="0.25">
      <c r="A871" t="str">
        <f>T("   851840")</f>
        <v xml:space="preserve">   851840</v>
      </c>
      <c r="B871" t="str">
        <f>T("   Amplificateurs électriques d'audiofréquence")</f>
        <v xml:space="preserve">   Amplificateurs électriques d'audiofréquence</v>
      </c>
      <c r="C871">
        <v>4034154</v>
      </c>
      <c r="D871">
        <v>50</v>
      </c>
    </row>
    <row r="872" spans="1:4" x14ac:dyDescent="0.25">
      <c r="A872" t="str">
        <f>T("   851850")</f>
        <v xml:space="preserve">   851850</v>
      </c>
      <c r="B872" t="str">
        <f>T("   Appareils électriques d'amplification du son")</f>
        <v xml:space="preserve">   Appareils électriques d'amplification du son</v>
      </c>
      <c r="C872">
        <v>506401</v>
      </c>
      <c r="D872">
        <v>756</v>
      </c>
    </row>
    <row r="873" spans="1:4" x14ac:dyDescent="0.25">
      <c r="A873" t="str">
        <f>T("   852190")</f>
        <v xml:space="preserve">   852190</v>
      </c>
      <c r="B873" t="s">
        <v>487</v>
      </c>
      <c r="C873">
        <v>155369</v>
      </c>
      <c r="D873">
        <v>42</v>
      </c>
    </row>
    <row r="874" spans="1:4" x14ac:dyDescent="0.25">
      <c r="A874" t="str">
        <f>T("   852550")</f>
        <v xml:space="preserve">   852550</v>
      </c>
      <c r="B874" t="str">
        <f>T("   APPAREILS D'ÉMISSION POUR LA RADIODIFFUSION OU LA TÉLÉVISION, SANS APPAREIL DE RÉCEPTION")</f>
        <v xml:space="preserve">   APPAREILS D'ÉMISSION POUR LA RADIODIFFUSION OU LA TÉLÉVISION, SANS APPAREIL DE RÉCEPTION</v>
      </c>
      <c r="C874">
        <v>39358</v>
      </c>
      <c r="D874">
        <v>39</v>
      </c>
    </row>
    <row r="875" spans="1:4" x14ac:dyDescent="0.25">
      <c r="A875" t="str">
        <f>T("   852719")</f>
        <v xml:space="preserve">   852719</v>
      </c>
      <c r="B87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75">
        <v>295718</v>
      </c>
      <c r="D875">
        <v>750</v>
      </c>
    </row>
    <row r="876" spans="1:4" x14ac:dyDescent="0.25">
      <c r="A876" t="str">
        <f>T("   852729")</f>
        <v xml:space="preserve">   852729</v>
      </c>
      <c r="B876" t="s">
        <v>492</v>
      </c>
      <c r="C876">
        <v>1107154</v>
      </c>
      <c r="D876">
        <v>850</v>
      </c>
    </row>
    <row r="877" spans="1:4" x14ac:dyDescent="0.25">
      <c r="A877" t="str">
        <f>T("   852790")</f>
        <v xml:space="preserve">   852790</v>
      </c>
      <c r="B877" t="str">
        <f>T("   Récepteurs pour la radiotéléphonie, la radiotélégraphie ou la radiodiffusion commerciale")</f>
        <v xml:space="preserve">   Récepteurs pour la radiotéléphonie, la radiotélégraphie ou la radiodiffusion commerciale</v>
      </c>
      <c r="C877">
        <v>50509</v>
      </c>
      <c r="D877">
        <v>70</v>
      </c>
    </row>
    <row r="878" spans="1:4" x14ac:dyDescent="0.25">
      <c r="A878" t="str">
        <f>T("   852812")</f>
        <v xml:space="preserve">   852812</v>
      </c>
      <c r="B87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78">
        <v>1543338</v>
      </c>
      <c r="D878">
        <v>4020</v>
      </c>
    </row>
    <row r="879" spans="1:4" x14ac:dyDescent="0.25">
      <c r="A879" t="str">
        <f>T("   852849")</f>
        <v xml:space="preserve">   852849</v>
      </c>
      <c r="B879"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879">
        <v>1024904</v>
      </c>
      <c r="D879">
        <v>3694</v>
      </c>
    </row>
    <row r="880" spans="1:4" x14ac:dyDescent="0.25">
      <c r="A880" t="str">
        <f>T("   852871")</f>
        <v xml:space="preserve">   852871</v>
      </c>
      <c r="B880"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880">
        <v>177765</v>
      </c>
      <c r="D880">
        <v>90</v>
      </c>
    </row>
    <row r="881" spans="1:4" x14ac:dyDescent="0.25">
      <c r="A881" t="str">
        <f>T("   852910")</f>
        <v xml:space="preserve">   852910</v>
      </c>
      <c r="B88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81">
        <v>64234173</v>
      </c>
      <c r="D881">
        <v>6405</v>
      </c>
    </row>
    <row r="882" spans="1:4" x14ac:dyDescent="0.25">
      <c r="A882" t="str">
        <f>T("   852990")</f>
        <v xml:space="preserve">   852990</v>
      </c>
      <c r="B882" t="s">
        <v>496</v>
      </c>
      <c r="C882">
        <v>71801382</v>
      </c>
      <c r="D882">
        <v>316</v>
      </c>
    </row>
    <row r="883" spans="1:4" x14ac:dyDescent="0.25">
      <c r="A883" t="str">
        <f>T("   853321")</f>
        <v xml:space="preserve">   853321</v>
      </c>
      <c r="B883" t="str">
        <f>T("   Résistances électriques fixes, pour une puissance &lt;= 20 W (non chauffantes)")</f>
        <v xml:space="preserve">   Résistances électriques fixes, pour une puissance &lt;= 20 W (non chauffantes)</v>
      </c>
      <c r="C883">
        <v>594044</v>
      </c>
      <c r="D883">
        <v>2</v>
      </c>
    </row>
    <row r="884" spans="1:4" x14ac:dyDescent="0.25">
      <c r="A884" t="str">
        <f>T("   853329")</f>
        <v xml:space="preserve">   853329</v>
      </c>
      <c r="B884" t="str">
        <f>T("   Résistances électriques fixes, pour une puissance &gt; 20 W (non chauffantes)")</f>
        <v xml:space="preserve">   Résistances électriques fixes, pour une puissance &gt; 20 W (non chauffantes)</v>
      </c>
      <c r="C884">
        <v>33769</v>
      </c>
      <c r="D884">
        <v>5</v>
      </c>
    </row>
    <row r="885" spans="1:4" x14ac:dyDescent="0.25">
      <c r="A885" t="str">
        <f>T("   853620")</f>
        <v xml:space="preserve">   853620</v>
      </c>
      <c r="B885" t="str">
        <f>T("   Disjoncteurs, pour une tension &lt;= 1.000 V")</f>
        <v xml:space="preserve">   Disjoncteurs, pour une tension &lt;= 1.000 V</v>
      </c>
      <c r="C885">
        <v>4171428</v>
      </c>
      <c r="D885">
        <v>44</v>
      </c>
    </row>
    <row r="886" spans="1:4" x14ac:dyDescent="0.25">
      <c r="A886" t="str">
        <f>T("   853630")</f>
        <v xml:space="preserve">   853630</v>
      </c>
      <c r="B886"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886">
        <v>86626</v>
      </c>
      <c r="D886">
        <v>1</v>
      </c>
    </row>
    <row r="887" spans="1:4" x14ac:dyDescent="0.25">
      <c r="A887" t="str">
        <f>T("   853641")</f>
        <v xml:space="preserve">   853641</v>
      </c>
      <c r="B887" t="str">
        <f>T("   Relais pour une tension &lt;= 60 V")</f>
        <v xml:space="preserve">   Relais pour une tension &lt;= 60 V</v>
      </c>
      <c r="C887">
        <v>2203789</v>
      </c>
      <c r="D887">
        <v>23</v>
      </c>
    </row>
    <row r="888" spans="1:4" x14ac:dyDescent="0.25">
      <c r="A888" t="str">
        <f>T("   853650")</f>
        <v xml:space="preserve">   853650</v>
      </c>
      <c r="B888" t="str">
        <f>T("   Interrupteurs, sectionneurs et commutateurs, pour une tension &lt;= 1.000 V (autres que relais et disjoncteurs)")</f>
        <v xml:space="preserve">   Interrupteurs, sectionneurs et commutateurs, pour une tension &lt;= 1.000 V (autres que relais et disjoncteurs)</v>
      </c>
      <c r="C888">
        <v>3265261</v>
      </c>
      <c r="D888">
        <v>45</v>
      </c>
    </row>
    <row r="889" spans="1:4" x14ac:dyDescent="0.25">
      <c r="A889" t="str">
        <f>T("   853669")</f>
        <v xml:space="preserve">   853669</v>
      </c>
      <c r="B889" t="str">
        <f>T("   Fiches et prises de courant, pour une tension &lt;= 1.000 V (sauf douilles pour lampes)")</f>
        <v xml:space="preserve">   Fiches et prises de courant, pour une tension &lt;= 1.000 V (sauf douilles pour lampes)</v>
      </c>
      <c r="C889">
        <v>142280831</v>
      </c>
      <c r="D889">
        <v>11881</v>
      </c>
    </row>
    <row r="890" spans="1:4" x14ac:dyDescent="0.25">
      <c r="A890" t="str">
        <f>T("   853690")</f>
        <v xml:space="preserve">   853690</v>
      </c>
      <c r="B890" t="s">
        <v>499</v>
      </c>
      <c r="C890">
        <v>20375575</v>
      </c>
      <c r="D890">
        <v>1601</v>
      </c>
    </row>
    <row r="891" spans="1:4" x14ac:dyDescent="0.25">
      <c r="A891" t="str">
        <f>T("   853710")</f>
        <v xml:space="preserve">   853710</v>
      </c>
      <c r="B89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91">
        <v>123299752</v>
      </c>
      <c r="D891">
        <v>9667</v>
      </c>
    </row>
    <row r="892" spans="1:4" x14ac:dyDescent="0.25">
      <c r="A892" t="str">
        <f>T("   853890")</f>
        <v xml:space="preserve">   853890</v>
      </c>
      <c r="B892" t="s">
        <v>500</v>
      </c>
      <c r="C892">
        <v>181696328</v>
      </c>
      <c r="D892">
        <v>4535</v>
      </c>
    </row>
    <row r="893" spans="1:4" x14ac:dyDescent="0.25">
      <c r="A893" t="str">
        <f>T("   853929")</f>
        <v xml:space="preserve">   853929</v>
      </c>
      <c r="B893"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93">
        <v>253330</v>
      </c>
      <c r="D893">
        <v>10</v>
      </c>
    </row>
    <row r="894" spans="1:4" x14ac:dyDescent="0.25">
      <c r="A894" t="str">
        <f>T("   853939")</f>
        <v xml:space="preserve">   853939</v>
      </c>
      <c r="B894"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894">
        <v>531779</v>
      </c>
      <c r="D894">
        <v>30</v>
      </c>
    </row>
    <row r="895" spans="1:4" x14ac:dyDescent="0.25">
      <c r="A895" t="str">
        <f>T("   853949")</f>
        <v xml:space="preserve">   853949</v>
      </c>
      <c r="B895" t="str">
        <f>T("   Lampes et tubes à rayons ultraviolets ou infrarouges")</f>
        <v xml:space="preserve">   Lampes et tubes à rayons ultraviolets ou infrarouges</v>
      </c>
      <c r="C895">
        <v>2104876</v>
      </c>
      <c r="D895">
        <v>5</v>
      </c>
    </row>
    <row r="896" spans="1:4" x14ac:dyDescent="0.25">
      <c r="A896" t="str">
        <f>T("   854239")</f>
        <v xml:space="preserve">   854239</v>
      </c>
      <c r="B896" t="str">
        <f>T("   CIRCUITS INTÉGRÉS ÉLECTRONIQUES (À L'EXCL. DE CEUX UTILISÉS COMME PROCESSEURS, CONTRÔLEURS, MÉMOIRES ET AMPLIFICATEURS)")</f>
        <v xml:space="preserve">   CIRCUITS INTÉGRÉS ÉLECTRONIQUES (À L'EXCL. DE CEUX UTILISÉS COMME PROCESSEURS, CONTRÔLEURS, MÉMOIRES ET AMPLIFICATEURS)</v>
      </c>
      <c r="C896">
        <v>402762</v>
      </c>
      <c r="D896">
        <v>246</v>
      </c>
    </row>
    <row r="897" spans="1:4" x14ac:dyDescent="0.25">
      <c r="A897" t="str">
        <f>T("   854420")</f>
        <v xml:space="preserve">   854420</v>
      </c>
      <c r="B897" t="str">
        <f>T("   Câbles coaxiaux et autres conducteurs électriques coaxiaux, isolés")</f>
        <v xml:space="preserve">   Câbles coaxiaux et autres conducteurs électriques coaxiaux, isolés</v>
      </c>
      <c r="C897">
        <v>46506979</v>
      </c>
      <c r="D897">
        <v>10989</v>
      </c>
    </row>
    <row r="898" spans="1:4" x14ac:dyDescent="0.25">
      <c r="A898" t="str">
        <f>T("   854449")</f>
        <v xml:space="preserve">   854449</v>
      </c>
      <c r="B898" t="str">
        <f>T("   CONDUCTEURS ÉLECTRIQUES, POUR TENSION &lt;= 1.000 V, ISOLÉS, SANS PIÈCES DE CONNEXION, N.D.A.")</f>
        <v xml:space="preserve">   CONDUCTEURS ÉLECTRIQUES, POUR TENSION &lt;= 1.000 V, ISOLÉS, SANS PIÈCES DE CONNEXION, N.D.A.</v>
      </c>
      <c r="C898">
        <v>82449115</v>
      </c>
      <c r="D898">
        <v>6461</v>
      </c>
    </row>
    <row r="899" spans="1:4" x14ac:dyDescent="0.25">
      <c r="A899" t="str">
        <f>T("   854470")</f>
        <v xml:space="preserve">   854470</v>
      </c>
      <c r="B899"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899">
        <v>2138895</v>
      </c>
      <c r="D899">
        <v>4543</v>
      </c>
    </row>
    <row r="900" spans="1:4" x14ac:dyDescent="0.25">
      <c r="A900" t="str">
        <f>T("   854520")</f>
        <v xml:space="preserve">   854520</v>
      </c>
      <c r="B900" t="str">
        <f>T("   Balais en charbon, pour usages électriques")</f>
        <v xml:space="preserve">   Balais en charbon, pour usages électriques</v>
      </c>
      <c r="C900">
        <v>50174</v>
      </c>
      <c r="D900">
        <v>2</v>
      </c>
    </row>
    <row r="901" spans="1:4" x14ac:dyDescent="0.25">
      <c r="A901" t="str">
        <f>T("   870110")</f>
        <v xml:space="preserve">   870110</v>
      </c>
      <c r="B901"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901">
        <v>2010000</v>
      </c>
      <c r="D901">
        <v>2000</v>
      </c>
    </row>
    <row r="902" spans="1:4" x14ac:dyDescent="0.25">
      <c r="A902" t="str">
        <f>T("   870120")</f>
        <v xml:space="preserve">   870120</v>
      </c>
      <c r="B902" t="str">
        <f>T("   Tracteurs routiers pour semi-remorques")</f>
        <v xml:space="preserve">   Tracteurs routiers pour semi-remorques</v>
      </c>
      <c r="C902">
        <v>398493417</v>
      </c>
      <c r="D902">
        <v>818511</v>
      </c>
    </row>
    <row r="903" spans="1:4" x14ac:dyDescent="0.25">
      <c r="A903" t="str">
        <f>T("   870190")</f>
        <v xml:space="preserve">   870190</v>
      </c>
      <c r="B903"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903">
        <v>14446324</v>
      </c>
      <c r="D903">
        <v>32408</v>
      </c>
    </row>
    <row r="904" spans="1:4" x14ac:dyDescent="0.25">
      <c r="A904" t="str">
        <f>T("   870210")</f>
        <v xml:space="preserve">   870210</v>
      </c>
      <c r="B904" t="s">
        <v>503</v>
      </c>
      <c r="C904">
        <v>409927013</v>
      </c>
      <c r="D904">
        <v>145629</v>
      </c>
    </row>
    <row r="905" spans="1:4" x14ac:dyDescent="0.25">
      <c r="A905" t="str">
        <f>T("   870290")</f>
        <v xml:space="preserve">   870290</v>
      </c>
      <c r="B905" t="s">
        <v>504</v>
      </c>
      <c r="C905">
        <v>199877009</v>
      </c>
      <c r="D905">
        <v>99317</v>
      </c>
    </row>
    <row r="906" spans="1:4" x14ac:dyDescent="0.25">
      <c r="A906" t="str">
        <f>T("   870322")</f>
        <v xml:space="preserve">   870322</v>
      </c>
      <c r="B906" t="s">
        <v>506</v>
      </c>
      <c r="C906">
        <v>1153872883</v>
      </c>
      <c r="D906">
        <v>589322</v>
      </c>
    </row>
    <row r="907" spans="1:4" x14ac:dyDescent="0.25">
      <c r="A907" t="str">
        <f>T("   870323")</f>
        <v xml:space="preserve">   870323</v>
      </c>
      <c r="B907" t="s">
        <v>507</v>
      </c>
      <c r="C907">
        <v>2728942474</v>
      </c>
      <c r="D907">
        <v>1537133</v>
      </c>
    </row>
    <row r="908" spans="1:4" x14ac:dyDescent="0.25">
      <c r="A908" t="str">
        <f>T("   870324")</f>
        <v xml:space="preserve">   870324</v>
      </c>
      <c r="B908" t="s">
        <v>508</v>
      </c>
      <c r="C908">
        <v>130492753</v>
      </c>
      <c r="D908">
        <v>51202</v>
      </c>
    </row>
    <row r="909" spans="1:4" x14ac:dyDescent="0.25">
      <c r="A909" t="str">
        <f>T("   870331")</f>
        <v xml:space="preserve">   870331</v>
      </c>
      <c r="B909" t="s">
        <v>509</v>
      </c>
      <c r="C909">
        <v>20178492</v>
      </c>
      <c r="D909">
        <v>6262</v>
      </c>
    </row>
    <row r="910" spans="1:4" x14ac:dyDescent="0.25">
      <c r="A910" t="str">
        <f>T("   870332")</f>
        <v xml:space="preserve">   870332</v>
      </c>
      <c r="B910" t="s">
        <v>510</v>
      </c>
      <c r="C910">
        <v>153582662</v>
      </c>
      <c r="D910">
        <v>51946</v>
      </c>
    </row>
    <row r="911" spans="1:4" x14ac:dyDescent="0.25">
      <c r="A911" t="str">
        <f>T("   870333")</f>
        <v xml:space="preserve">   870333</v>
      </c>
      <c r="B911" t="s">
        <v>511</v>
      </c>
      <c r="C911">
        <v>1903632663</v>
      </c>
      <c r="D911">
        <v>216455</v>
      </c>
    </row>
    <row r="912" spans="1:4" x14ac:dyDescent="0.25">
      <c r="A912" t="str">
        <f>T("   870421")</f>
        <v xml:space="preserve">   870421</v>
      </c>
      <c r="B912" t="s">
        <v>512</v>
      </c>
      <c r="C912">
        <v>2860620900</v>
      </c>
      <c r="D912">
        <v>581712</v>
      </c>
    </row>
    <row r="913" spans="1:4" x14ac:dyDescent="0.25">
      <c r="A913" t="str">
        <f>T("   870422")</f>
        <v xml:space="preserve">   870422</v>
      </c>
      <c r="B913" t="s">
        <v>513</v>
      </c>
      <c r="C913">
        <v>345726750</v>
      </c>
      <c r="D913">
        <v>194753</v>
      </c>
    </row>
    <row r="914" spans="1:4" x14ac:dyDescent="0.25">
      <c r="A914" t="str">
        <f>T("   870423")</f>
        <v xml:space="preserve">   870423</v>
      </c>
      <c r="B914" t="s">
        <v>514</v>
      </c>
      <c r="C914">
        <v>88081543</v>
      </c>
      <c r="D914">
        <v>296490</v>
      </c>
    </row>
    <row r="915" spans="1:4" x14ac:dyDescent="0.25">
      <c r="A915" t="str">
        <f>T("   870431")</f>
        <v xml:space="preserve">   870431</v>
      </c>
      <c r="B915" t="s">
        <v>515</v>
      </c>
      <c r="C915">
        <v>218540091</v>
      </c>
      <c r="D915">
        <v>230522</v>
      </c>
    </row>
    <row r="916" spans="1:4" x14ac:dyDescent="0.25">
      <c r="A916" t="str">
        <f>T("   870432")</f>
        <v xml:space="preserve">   870432</v>
      </c>
      <c r="B916" t="s">
        <v>516</v>
      </c>
      <c r="C916">
        <v>14447656</v>
      </c>
      <c r="D916">
        <v>25250</v>
      </c>
    </row>
    <row r="917" spans="1:4" x14ac:dyDescent="0.25">
      <c r="A917" t="str">
        <f>T("   870510")</f>
        <v xml:space="preserve">   870510</v>
      </c>
      <c r="B917" t="str">
        <f>T("   Camions-grues (sauf dépanneuses)")</f>
        <v xml:space="preserve">   Camions-grues (sauf dépanneuses)</v>
      </c>
      <c r="C917">
        <v>19770126</v>
      </c>
      <c r="D917">
        <v>23750</v>
      </c>
    </row>
    <row r="918" spans="1:4" x14ac:dyDescent="0.25">
      <c r="A918" t="str">
        <f>T("   870540")</f>
        <v xml:space="preserve">   870540</v>
      </c>
      <c r="B918" t="str">
        <f>T("   Camions-bétonnières")</f>
        <v xml:space="preserve">   Camions-bétonnières</v>
      </c>
      <c r="C918">
        <v>62354902</v>
      </c>
      <c r="D918">
        <v>13300</v>
      </c>
    </row>
    <row r="919" spans="1:4" x14ac:dyDescent="0.25">
      <c r="A919" t="str">
        <f>T("   870590")</f>
        <v xml:space="preserve">   870590</v>
      </c>
      <c r="B919" t="s">
        <v>517</v>
      </c>
      <c r="C919">
        <v>2661914</v>
      </c>
      <c r="D919">
        <v>3000</v>
      </c>
    </row>
    <row r="920" spans="1:4" x14ac:dyDescent="0.25">
      <c r="A920" t="str">
        <f>T("   870810")</f>
        <v xml:space="preserve">   870810</v>
      </c>
      <c r="B920"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920">
        <v>400000</v>
      </c>
      <c r="D920">
        <v>100</v>
      </c>
    </row>
    <row r="921" spans="1:4" x14ac:dyDescent="0.25">
      <c r="A921" t="str">
        <f>T("   870870")</f>
        <v xml:space="preserve">   870870</v>
      </c>
      <c r="B921"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921">
        <v>759707</v>
      </c>
      <c r="D921">
        <v>417</v>
      </c>
    </row>
    <row r="922" spans="1:4" x14ac:dyDescent="0.25">
      <c r="A922" t="str">
        <f>T("   870880")</f>
        <v xml:space="preserve">   870880</v>
      </c>
      <c r="B922" t="s">
        <v>520</v>
      </c>
      <c r="C922">
        <v>342411</v>
      </c>
      <c r="D922">
        <v>28.5</v>
      </c>
    </row>
    <row r="923" spans="1:4" x14ac:dyDescent="0.25">
      <c r="A923" t="str">
        <f>T("   870891")</f>
        <v xml:space="preserve">   870891</v>
      </c>
      <c r="B923"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923">
        <v>5789424</v>
      </c>
      <c r="D923">
        <v>308</v>
      </c>
    </row>
    <row r="924" spans="1:4" x14ac:dyDescent="0.25">
      <c r="A924" t="str">
        <f>T("   870893")</f>
        <v xml:space="preserve">   870893</v>
      </c>
      <c r="B924"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924">
        <v>1080642</v>
      </c>
      <c r="D924">
        <v>121.1</v>
      </c>
    </row>
    <row r="925" spans="1:4" x14ac:dyDescent="0.25">
      <c r="A925" t="str">
        <f>T("   870899")</f>
        <v xml:space="preserve">   870899</v>
      </c>
      <c r="B92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25">
        <v>76599246</v>
      </c>
      <c r="D925">
        <v>6585.5</v>
      </c>
    </row>
    <row r="926" spans="1:4" x14ac:dyDescent="0.25">
      <c r="A926" t="str">
        <f>T("   870919")</f>
        <v xml:space="preserve">   870919</v>
      </c>
      <c r="B926"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926">
        <v>1500000</v>
      </c>
      <c r="D926">
        <v>1600</v>
      </c>
    </row>
    <row r="927" spans="1:4" x14ac:dyDescent="0.25">
      <c r="A927" t="str">
        <f>T("   870990")</f>
        <v xml:space="preserve">   870990</v>
      </c>
      <c r="B927"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927">
        <v>100000</v>
      </c>
      <c r="D927">
        <v>1</v>
      </c>
    </row>
    <row r="928" spans="1:4" x14ac:dyDescent="0.25">
      <c r="A928" t="str">
        <f>T("   871120")</f>
        <v xml:space="preserve">   871120</v>
      </c>
      <c r="B928" t="str">
        <f>T("   Motocycles à moteur à piston alternatif, cylindrée &gt; 50 cm³ mais &lt;= 250 cm³")</f>
        <v xml:space="preserve">   Motocycles à moteur à piston alternatif, cylindrée &gt; 50 cm³ mais &lt;= 250 cm³</v>
      </c>
      <c r="C928">
        <v>5215000</v>
      </c>
      <c r="D928">
        <v>6178</v>
      </c>
    </row>
    <row r="929" spans="1:4" x14ac:dyDescent="0.25">
      <c r="A929" t="str">
        <f>T("   871130")</f>
        <v xml:space="preserve">   871130</v>
      </c>
      <c r="B929" t="str">
        <f>T("   Motocycles à moteur à piston alternatif, cylindrée &gt; 250 cm³ mais &lt;= 500 cm³")</f>
        <v xml:space="preserve">   Motocycles à moteur à piston alternatif, cylindrée &gt; 250 cm³ mais &lt;= 500 cm³</v>
      </c>
      <c r="C929">
        <v>1742705</v>
      </c>
      <c r="D929">
        <v>1200</v>
      </c>
    </row>
    <row r="930" spans="1:4" x14ac:dyDescent="0.25">
      <c r="A930" t="str">
        <f>T("   871140")</f>
        <v xml:space="preserve">   871140</v>
      </c>
      <c r="B930" t="str">
        <f>T("   Motocycles à moteur à piston alternatif, cylindrée &gt; 500 cm³ mais &lt;= 800 cm³")</f>
        <v xml:space="preserve">   Motocycles à moteur à piston alternatif, cylindrée &gt; 500 cm³ mais &lt;= 800 cm³</v>
      </c>
      <c r="C930">
        <v>218459</v>
      </c>
      <c r="D930">
        <v>444</v>
      </c>
    </row>
    <row r="931" spans="1:4" x14ac:dyDescent="0.25">
      <c r="A931" t="str">
        <f>T("   871190")</f>
        <v xml:space="preserve">   871190</v>
      </c>
      <c r="B931" t="str">
        <f>T("   Side-cars")</f>
        <v xml:space="preserve">   Side-cars</v>
      </c>
      <c r="C931">
        <v>150000</v>
      </c>
      <c r="D931">
        <v>1000</v>
      </c>
    </row>
    <row r="932" spans="1:4" x14ac:dyDescent="0.25">
      <c r="A932" t="str">
        <f>T("   871200")</f>
        <v xml:space="preserve">   871200</v>
      </c>
      <c r="B932" t="str">
        <f>T("   BICYCLETTES ET AUTRES CYCLES, -Y.C. LES TRIPORTEURS-, SANS MOTEUR")</f>
        <v xml:space="preserve">   BICYCLETTES ET AUTRES CYCLES, -Y.C. LES TRIPORTEURS-, SANS MOTEUR</v>
      </c>
      <c r="C932">
        <v>13279809</v>
      </c>
      <c r="D932">
        <v>40383</v>
      </c>
    </row>
    <row r="933" spans="1:4" x14ac:dyDescent="0.25">
      <c r="A933" t="str">
        <f>T("   871310")</f>
        <v xml:space="preserve">   871310</v>
      </c>
      <c r="B933" t="str">
        <f>T("   Fauteuils roulants et autres véhicules pour invalides (sans mécanisme de propulsion)")</f>
        <v xml:space="preserve">   Fauteuils roulants et autres véhicules pour invalides (sans mécanisme de propulsion)</v>
      </c>
      <c r="C933">
        <v>160054</v>
      </c>
      <c r="D933">
        <v>152</v>
      </c>
    </row>
    <row r="934" spans="1:4" x14ac:dyDescent="0.25">
      <c r="A934" t="str">
        <f>T("   871492")</f>
        <v xml:space="preserve">   871492</v>
      </c>
      <c r="B934" t="str">
        <f>T("   Jantes et rayons, de bicyclettes")</f>
        <v xml:space="preserve">   Jantes et rayons, de bicyclettes</v>
      </c>
      <c r="C934">
        <v>196788</v>
      </c>
      <c r="D934">
        <v>2111</v>
      </c>
    </row>
    <row r="935" spans="1:4" x14ac:dyDescent="0.25">
      <c r="A935" t="str">
        <f>T("   871639")</f>
        <v xml:space="preserve">   871639</v>
      </c>
      <c r="B935"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935">
        <v>72764446</v>
      </c>
      <c r="D935">
        <v>183216</v>
      </c>
    </row>
    <row r="936" spans="1:4" x14ac:dyDescent="0.25">
      <c r="A936" t="str">
        <f>T("   871640")</f>
        <v xml:space="preserve">   871640</v>
      </c>
      <c r="B93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36">
        <v>102974968</v>
      </c>
      <c r="D936">
        <v>296810</v>
      </c>
    </row>
    <row r="937" spans="1:4" x14ac:dyDescent="0.25">
      <c r="A937" t="str">
        <f>T("   900190")</f>
        <v xml:space="preserve">   900190</v>
      </c>
      <c r="B937"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937">
        <v>418109</v>
      </c>
      <c r="D937">
        <v>1</v>
      </c>
    </row>
    <row r="938" spans="1:4" x14ac:dyDescent="0.25">
      <c r="A938" t="str">
        <f>T("   900410")</f>
        <v xml:space="preserve">   900410</v>
      </c>
      <c r="B938" t="str">
        <f>T("   Lunettes solaires")</f>
        <v xml:space="preserve">   Lunettes solaires</v>
      </c>
      <c r="C938">
        <v>1166854</v>
      </c>
      <c r="D938">
        <v>49</v>
      </c>
    </row>
    <row r="939" spans="1:4" x14ac:dyDescent="0.25">
      <c r="A939" t="str">
        <f>T("   900490")</f>
        <v xml:space="preserve">   900490</v>
      </c>
      <c r="B939"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939">
        <v>78004</v>
      </c>
      <c r="D939">
        <v>325</v>
      </c>
    </row>
    <row r="940" spans="1:4" x14ac:dyDescent="0.25">
      <c r="A940" t="str">
        <f>T("   900659")</f>
        <v xml:space="preserve">   900659</v>
      </c>
      <c r="B940" t="s">
        <v>523</v>
      </c>
      <c r="C940">
        <v>100362</v>
      </c>
      <c r="D940">
        <v>42</v>
      </c>
    </row>
    <row r="941" spans="1:4" x14ac:dyDescent="0.25">
      <c r="A941" t="str">
        <f>T("   900720")</f>
        <v xml:space="preserve">   900720</v>
      </c>
      <c r="B941" t="str">
        <f>T("   Projecteurs cinématographiques")</f>
        <v xml:space="preserve">   Projecteurs cinématographiques</v>
      </c>
      <c r="C941">
        <v>323178</v>
      </c>
      <c r="D941">
        <v>521</v>
      </c>
    </row>
    <row r="942" spans="1:4" x14ac:dyDescent="0.25">
      <c r="A942" t="str">
        <f>T("   900820")</f>
        <v xml:space="preserve">   900820</v>
      </c>
      <c r="B942" t="str">
        <f>T("   Lecteurs de microfilms, de microfiches ou d'autres microformats, même permettant l'obtention de copies")</f>
        <v xml:space="preserve">   Lecteurs de microfilms, de microfiches ou d'autres microformats, même permettant l'obtention de copies</v>
      </c>
      <c r="C942">
        <v>1097421</v>
      </c>
      <c r="D942">
        <v>868</v>
      </c>
    </row>
    <row r="943" spans="1:4" x14ac:dyDescent="0.25">
      <c r="A943" t="str">
        <f>T("   900890")</f>
        <v xml:space="preserve">   900890</v>
      </c>
      <c r="B943" t="str">
        <f>T("   Parties et accessoires de projecteurs d'images fixes et d'appareils photographiques d'agrandissement ou de réduction, n.d.a.")</f>
        <v xml:space="preserve">   Parties et accessoires de projecteurs d'images fixes et d'appareils photographiques d'agrandissement ou de réduction, n.d.a.</v>
      </c>
      <c r="C943">
        <v>80000</v>
      </c>
      <c r="D943">
        <v>35</v>
      </c>
    </row>
    <row r="944" spans="1:4" x14ac:dyDescent="0.25">
      <c r="A944" t="str">
        <f>T("   901010")</f>
        <v xml:space="preserve">   901010</v>
      </c>
      <c r="B944" t="s">
        <v>524</v>
      </c>
      <c r="C944">
        <v>4251934</v>
      </c>
      <c r="D944">
        <v>2160</v>
      </c>
    </row>
    <row r="945" spans="1:4" x14ac:dyDescent="0.25">
      <c r="A945" t="str">
        <f>T("   901180")</f>
        <v xml:space="preserve">   901180</v>
      </c>
      <c r="B945" t="s">
        <v>525</v>
      </c>
      <c r="C945">
        <v>150000</v>
      </c>
      <c r="D945">
        <v>10</v>
      </c>
    </row>
    <row r="946" spans="1:4" x14ac:dyDescent="0.25">
      <c r="A946" t="str">
        <f>T("   901730")</f>
        <v xml:space="preserve">   901730</v>
      </c>
      <c r="B946" t="str">
        <f>T("   Micromètres, pieds à coulisses, calibres et jauges")</f>
        <v xml:space="preserve">   Micromètres, pieds à coulisses, calibres et jauges</v>
      </c>
      <c r="C946">
        <v>88786</v>
      </c>
      <c r="D946">
        <v>15</v>
      </c>
    </row>
    <row r="947" spans="1:4" x14ac:dyDescent="0.25">
      <c r="A947" t="str">
        <f>T("   901780")</f>
        <v xml:space="preserve">   901780</v>
      </c>
      <c r="B947" t="str">
        <f>T("   Instruments de mesure de longueurs, pour emploi à la main, n.d.a.")</f>
        <v xml:space="preserve">   Instruments de mesure de longueurs, pour emploi à la main, n.d.a.</v>
      </c>
      <c r="C947">
        <v>1456887</v>
      </c>
      <c r="D947">
        <v>2430</v>
      </c>
    </row>
    <row r="948" spans="1:4" x14ac:dyDescent="0.25">
      <c r="A948" t="str">
        <f>T("   901831")</f>
        <v xml:space="preserve">   901831</v>
      </c>
      <c r="B948" t="str">
        <f>T("   Seringues, avec ou sans aiguilles, pour la médecine")</f>
        <v xml:space="preserve">   Seringues, avec ou sans aiguilles, pour la médecine</v>
      </c>
      <c r="C948">
        <v>4830023</v>
      </c>
      <c r="D948">
        <v>870</v>
      </c>
    </row>
    <row r="949" spans="1:4" x14ac:dyDescent="0.25">
      <c r="A949" t="str">
        <f>T("   901839")</f>
        <v xml:space="preserve">   901839</v>
      </c>
      <c r="B949"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949">
        <v>31555390</v>
      </c>
      <c r="D949">
        <v>2752</v>
      </c>
    </row>
    <row r="950" spans="1:4" x14ac:dyDescent="0.25">
      <c r="A950" t="str">
        <f>T("   901890")</f>
        <v xml:space="preserve">   901890</v>
      </c>
      <c r="B950" t="str">
        <f>T("   Instruments et appareils pour la médecine, la chirurgie ou l'art vétérinaire, n.d.a.")</f>
        <v xml:space="preserve">   Instruments et appareils pour la médecine, la chirurgie ou l'art vétérinaire, n.d.a.</v>
      </c>
      <c r="C950">
        <v>52422492</v>
      </c>
      <c r="D950">
        <v>14522</v>
      </c>
    </row>
    <row r="951" spans="1:4" x14ac:dyDescent="0.25">
      <c r="A951" t="str">
        <f>T("   902290")</f>
        <v xml:space="preserve">   902290</v>
      </c>
      <c r="B951" t="s">
        <v>529</v>
      </c>
      <c r="C951">
        <v>1475910</v>
      </c>
      <c r="D951">
        <v>2556</v>
      </c>
    </row>
    <row r="952" spans="1:4" x14ac:dyDescent="0.25">
      <c r="A952" t="str">
        <f>T("   902300")</f>
        <v xml:space="preserve">   902300</v>
      </c>
      <c r="B952" t="s">
        <v>530</v>
      </c>
      <c r="C952">
        <v>1156084</v>
      </c>
      <c r="D952">
        <v>46</v>
      </c>
    </row>
    <row r="953" spans="1:4" x14ac:dyDescent="0.25">
      <c r="A953" t="str">
        <f>T("   902480")</f>
        <v xml:space="preserve">   902480</v>
      </c>
      <c r="B953" t="str">
        <f>T("   Machines et appareils d'essais des propriétés mécaniques des matériaux (autres que les métaux)")</f>
        <v xml:space="preserve">   Machines et appareils d'essais des propriétés mécaniques des matériaux (autres que les métaux)</v>
      </c>
      <c r="C953">
        <v>200000</v>
      </c>
      <c r="D953">
        <v>800</v>
      </c>
    </row>
    <row r="954" spans="1:4" x14ac:dyDescent="0.25">
      <c r="A954" t="str">
        <f>T("   902511")</f>
        <v xml:space="preserve">   902511</v>
      </c>
      <c r="B954" t="str">
        <f>T("   THERMOMÈTRES À LIQUIDE, À LECTURE DIRECTE, NON-COMBINÉS À D'AUTRES INSTRUMENTS")</f>
        <v xml:space="preserve">   THERMOMÈTRES À LIQUIDE, À LECTURE DIRECTE, NON-COMBINÉS À D'AUTRES INSTRUMENTS</v>
      </c>
      <c r="C954">
        <v>418050</v>
      </c>
      <c r="D954">
        <v>1</v>
      </c>
    </row>
    <row r="955" spans="1:4" x14ac:dyDescent="0.25">
      <c r="A955" t="str">
        <f>T("   902519")</f>
        <v xml:space="preserve">   902519</v>
      </c>
      <c r="B955"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55">
        <v>7257100</v>
      </c>
      <c r="D955">
        <v>101</v>
      </c>
    </row>
    <row r="956" spans="1:4" x14ac:dyDescent="0.25">
      <c r="A956" t="str">
        <f>T("   902590")</f>
        <v xml:space="preserve">   902590</v>
      </c>
      <c r="B956"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956">
        <v>2162937</v>
      </c>
      <c r="D956">
        <v>4</v>
      </c>
    </row>
    <row r="957" spans="1:4" x14ac:dyDescent="0.25">
      <c r="A957" t="str">
        <f>T("   902610")</f>
        <v xml:space="preserve">   902610</v>
      </c>
      <c r="B957"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957">
        <v>11880850</v>
      </c>
      <c r="D957">
        <v>137</v>
      </c>
    </row>
    <row r="958" spans="1:4" x14ac:dyDescent="0.25">
      <c r="A958" t="str">
        <f>T("   902620")</f>
        <v xml:space="preserve">   902620</v>
      </c>
      <c r="B95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958">
        <v>8744389</v>
      </c>
      <c r="D958">
        <v>262</v>
      </c>
    </row>
    <row r="959" spans="1:4" x14ac:dyDescent="0.25">
      <c r="A959" t="str">
        <f>T("   902730")</f>
        <v xml:space="preserve">   902730</v>
      </c>
      <c r="B959" t="str">
        <f>T("   Spectromètres, spectrophotomètres et spectrographes utilisant les rayonnements optiques: UV, visibles, IR")</f>
        <v xml:space="preserve">   Spectromètres, spectrophotomètres et spectrographes utilisant les rayonnements optiques: UV, visibles, IR</v>
      </c>
      <c r="C959">
        <v>7941255</v>
      </c>
      <c r="D959">
        <v>21</v>
      </c>
    </row>
    <row r="960" spans="1:4" x14ac:dyDescent="0.25">
      <c r="A960" t="str">
        <f>T("   902750")</f>
        <v xml:space="preserve">   902750</v>
      </c>
      <c r="B960"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960">
        <v>9168438</v>
      </c>
      <c r="D960">
        <v>7</v>
      </c>
    </row>
    <row r="961" spans="1:4" x14ac:dyDescent="0.25">
      <c r="A961" t="str">
        <f>T("   902780")</f>
        <v xml:space="preserve">   902780</v>
      </c>
      <c r="B961"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961">
        <v>3274954</v>
      </c>
      <c r="D961">
        <v>9.3000000000000007</v>
      </c>
    </row>
    <row r="962" spans="1:4" x14ac:dyDescent="0.25">
      <c r="A962" t="str">
        <f>T("   902820")</f>
        <v xml:space="preserve">   902820</v>
      </c>
      <c r="B962" t="str">
        <f>T("   Compteurs de liquides, y.c. les compteurs pour leur étalonnage")</f>
        <v xml:space="preserve">   Compteurs de liquides, y.c. les compteurs pour leur étalonnage</v>
      </c>
      <c r="C962">
        <v>1572330</v>
      </c>
      <c r="D962">
        <v>52</v>
      </c>
    </row>
    <row r="963" spans="1:4" x14ac:dyDescent="0.25">
      <c r="A963" t="str">
        <f>T("   903090")</f>
        <v xml:space="preserve">   903090</v>
      </c>
      <c r="B963" t="str">
        <f>T("   Parties et accessoires des instruments et appareils pour la mesure ou le contrôle de grandeurs électriques ou pour la mesure ou la détection des radiations ionisantes, n.d.a.")</f>
        <v xml:space="preserve">   Parties et accessoires des instruments et appareils pour la mesure ou le contrôle de grandeurs électriques ou pour la mesure ou la détection des radiations ionisantes, n.d.a.</v>
      </c>
      <c r="C963">
        <v>425016</v>
      </c>
      <c r="D963">
        <v>9</v>
      </c>
    </row>
    <row r="964" spans="1:4" x14ac:dyDescent="0.25">
      <c r="A964" t="str">
        <f>T("   903180")</f>
        <v xml:space="preserve">   903180</v>
      </c>
      <c r="B964" t="str">
        <f>T("   INSTRUMENTS, APPAREILS ET MACHINES DE MESURE OU DE CONTRÔLE, NON-OPTIQUES, N.D.A. DANS LE PRÉSENT CHAPITRE")</f>
        <v xml:space="preserve">   INSTRUMENTS, APPAREILS ET MACHINES DE MESURE OU DE CONTRÔLE, NON-OPTIQUES, N.D.A. DANS LE PRÉSENT CHAPITRE</v>
      </c>
      <c r="C964">
        <v>17842459</v>
      </c>
      <c r="D964">
        <v>64</v>
      </c>
    </row>
    <row r="965" spans="1:4" x14ac:dyDescent="0.25">
      <c r="A965" t="str">
        <f>T("   903210")</f>
        <v xml:space="preserve">   903210</v>
      </c>
      <c r="B965" t="str">
        <f>T("   Thermostats pour la régulation ou le contrôle automatiques")</f>
        <v xml:space="preserve">   Thermostats pour la régulation ou le contrôle automatiques</v>
      </c>
      <c r="C965">
        <v>3230366</v>
      </c>
      <c r="D965">
        <v>19</v>
      </c>
    </row>
    <row r="966" spans="1:4" x14ac:dyDescent="0.25">
      <c r="A966" t="str">
        <f>T("   903220")</f>
        <v xml:space="preserve">   903220</v>
      </c>
      <c r="B966" t="str">
        <f>T("   Manostats [pressostats] (sauf les articles de robinetterie du n° 8481)")</f>
        <v xml:space="preserve">   Manostats [pressostats] (sauf les articles de robinetterie du n° 8481)</v>
      </c>
      <c r="C966">
        <v>9469522</v>
      </c>
      <c r="D966">
        <v>18</v>
      </c>
    </row>
    <row r="967" spans="1:4" x14ac:dyDescent="0.25">
      <c r="A967" t="str">
        <f>T("   903281")</f>
        <v xml:space="preserve">   903281</v>
      </c>
      <c r="B967"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967">
        <v>2615470</v>
      </c>
      <c r="D967">
        <v>7</v>
      </c>
    </row>
    <row r="968" spans="1:4" x14ac:dyDescent="0.25">
      <c r="A968" t="str">
        <f>T("   903289")</f>
        <v xml:space="preserve">   903289</v>
      </c>
      <c r="B968" t="s">
        <v>534</v>
      </c>
      <c r="C968">
        <v>20761494</v>
      </c>
      <c r="D968">
        <v>8152</v>
      </c>
    </row>
    <row r="969" spans="1:4" x14ac:dyDescent="0.25">
      <c r="A969" t="str">
        <f>T("   910212")</f>
        <v xml:space="preserve">   910212</v>
      </c>
      <c r="B969" t="str">
        <f>T("   Montres-bracelets, même incorporant un compteur de temps, fonctionnant électriquement, à affichage optoélectronique seulement (autres que celles en métaux précieux ou en plaqués ou doublés de métaux précieux)")</f>
        <v xml:space="preserve">   Montres-bracelets, même incorporant un compteur de temps, fonctionnant électriquement, à affichage optoélectronique seulement (autres que celles en métaux précieux ou en plaqués ou doublés de métaux précieux)</v>
      </c>
      <c r="C969">
        <v>138224</v>
      </c>
      <c r="D969">
        <v>49</v>
      </c>
    </row>
    <row r="970" spans="1:4" x14ac:dyDescent="0.25">
      <c r="A970" t="str">
        <f>T("   910610")</f>
        <v xml:space="preserve">   910610</v>
      </c>
      <c r="B970" t="str">
        <f>T("   HORLOGES DE POINTAGE; HORODATEURS ET HOROCOMPTEURS [01/01/1988-31/12/1994: HORLOGES DE POINTAGE; HORODATEURS ET HOROCOMPTEURS]")</f>
        <v xml:space="preserve">   HORLOGES DE POINTAGE; HORODATEURS ET HOROCOMPTEURS [01/01/1988-31/12/1994: HORLOGES DE POINTAGE; HORODATEURS ET HOROCOMPTEURS]</v>
      </c>
      <c r="C970">
        <v>3842207</v>
      </c>
      <c r="D970">
        <v>17</v>
      </c>
    </row>
    <row r="971" spans="1:4" x14ac:dyDescent="0.25">
      <c r="A971" t="str">
        <f>T("   940161")</f>
        <v xml:space="preserve">   940161</v>
      </c>
      <c r="B971" t="str">
        <f>T("   Sièges, avec bâti en bois, rembourrés (non transformables en lits)")</f>
        <v xml:space="preserve">   Sièges, avec bâti en bois, rembourrés (non transformables en lits)</v>
      </c>
      <c r="C971">
        <v>7828226</v>
      </c>
      <c r="D971">
        <v>6070</v>
      </c>
    </row>
    <row r="972" spans="1:4" x14ac:dyDescent="0.25">
      <c r="A972" t="str">
        <f>T("   940169")</f>
        <v xml:space="preserve">   940169</v>
      </c>
      <c r="B972" t="str">
        <f>T("   Sièges, avec bâti en bois, non rembourrés")</f>
        <v xml:space="preserve">   Sièges, avec bâti en bois, non rembourrés</v>
      </c>
      <c r="C972">
        <v>4274891</v>
      </c>
      <c r="D972">
        <v>4291</v>
      </c>
    </row>
    <row r="973" spans="1:4" x14ac:dyDescent="0.25">
      <c r="A973" t="str">
        <f>T("   940210")</f>
        <v xml:space="preserve">   940210</v>
      </c>
      <c r="B973"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973">
        <v>3398572</v>
      </c>
      <c r="D973">
        <v>350</v>
      </c>
    </row>
    <row r="974" spans="1:4" x14ac:dyDescent="0.25">
      <c r="A974" t="str">
        <f>T("   940290")</f>
        <v xml:space="preserve">   940290</v>
      </c>
      <c r="B974"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974">
        <v>540308</v>
      </c>
      <c r="D974">
        <v>1957</v>
      </c>
    </row>
    <row r="975" spans="1:4" x14ac:dyDescent="0.25">
      <c r="A975" t="str">
        <f>T("   940310")</f>
        <v xml:space="preserve">   940310</v>
      </c>
      <c r="B975" t="str">
        <f>T("   Meubles de bureau en métal (sauf sièges)")</f>
        <v xml:space="preserve">   Meubles de bureau en métal (sauf sièges)</v>
      </c>
      <c r="C975">
        <v>154750</v>
      </c>
      <c r="D975">
        <v>800</v>
      </c>
    </row>
    <row r="976" spans="1:4" x14ac:dyDescent="0.25">
      <c r="A976" t="str">
        <f>T("   940320")</f>
        <v xml:space="preserve">   940320</v>
      </c>
      <c r="B97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76">
        <v>1012802</v>
      </c>
      <c r="D976">
        <v>3695</v>
      </c>
    </row>
    <row r="977" spans="1:4" x14ac:dyDescent="0.25">
      <c r="A977" t="str">
        <f>T("   940350")</f>
        <v xml:space="preserve">   940350</v>
      </c>
      <c r="B977" t="str">
        <f>T("   Meubles pour chambres à coucher, en bois (sauf sièges)")</f>
        <v xml:space="preserve">   Meubles pour chambres à coucher, en bois (sauf sièges)</v>
      </c>
      <c r="C977">
        <v>13654050</v>
      </c>
      <c r="D977">
        <v>19390</v>
      </c>
    </row>
    <row r="978" spans="1:4" x14ac:dyDescent="0.25">
      <c r="A978" t="str">
        <f>T("   940360")</f>
        <v xml:space="preserve">   940360</v>
      </c>
      <c r="B978" t="str">
        <f>T("   Meubles en bois (autres que pour bureaux, cuisines ou chambres à coucher et autres que sièges)")</f>
        <v xml:space="preserve">   Meubles en bois (autres que pour bureaux, cuisines ou chambres à coucher et autres que sièges)</v>
      </c>
      <c r="C978">
        <v>88744774</v>
      </c>
      <c r="D978">
        <v>169040</v>
      </c>
    </row>
    <row r="979" spans="1:4" x14ac:dyDescent="0.25">
      <c r="A979" t="str">
        <f>T("   940370")</f>
        <v xml:space="preserve">   940370</v>
      </c>
      <c r="B979"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79">
        <v>376521</v>
      </c>
      <c r="D979">
        <v>480</v>
      </c>
    </row>
    <row r="980" spans="1:4" x14ac:dyDescent="0.25">
      <c r="A980" t="str">
        <f>T("   940380")</f>
        <v xml:space="preserve">   940380</v>
      </c>
      <c r="B980" t="str">
        <f>T("   Meubles en rotin, osier, bambou ou autres matières (sauf métal, bois et matières plastiques)")</f>
        <v xml:space="preserve">   Meubles en rotin, osier, bambou ou autres matières (sauf métal, bois et matières plastiques)</v>
      </c>
      <c r="C980">
        <v>3458221</v>
      </c>
      <c r="D980">
        <v>13000</v>
      </c>
    </row>
    <row r="981" spans="1:4" x14ac:dyDescent="0.25">
      <c r="A981" t="str">
        <f>T("   940381")</f>
        <v xml:space="preserve">   940381</v>
      </c>
      <c r="B981"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981">
        <v>879497</v>
      </c>
      <c r="D981">
        <v>4070</v>
      </c>
    </row>
    <row r="982" spans="1:4" x14ac:dyDescent="0.25">
      <c r="A982" t="str">
        <f>T("   940389")</f>
        <v xml:space="preserve">   940389</v>
      </c>
      <c r="B982"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982">
        <v>14654963</v>
      </c>
      <c r="D982">
        <v>13261</v>
      </c>
    </row>
    <row r="983" spans="1:4" x14ac:dyDescent="0.25">
      <c r="A983" t="str">
        <f>T("   940429")</f>
        <v xml:space="preserve">   940429</v>
      </c>
      <c r="B983"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983">
        <v>958295</v>
      </c>
      <c r="D983">
        <v>3020</v>
      </c>
    </row>
    <row r="984" spans="1:4" x14ac:dyDescent="0.25">
      <c r="A984" t="str">
        <f>T("   940490")</f>
        <v xml:space="preserve">   940490</v>
      </c>
      <c r="B984" t="s">
        <v>537</v>
      </c>
      <c r="C984">
        <v>4251448</v>
      </c>
      <c r="D984">
        <v>1502</v>
      </c>
    </row>
    <row r="985" spans="1:4" x14ac:dyDescent="0.25">
      <c r="A985" t="str">
        <f>T("   940510")</f>
        <v xml:space="preserve">   940510</v>
      </c>
      <c r="B985"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985">
        <v>49125201</v>
      </c>
      <c r="D985">
        <v>9586</v>
      </c>
    </row>
    <row r="986" spans="1:4" x14ac:dyDescent="0.25">
      <c r="A986" t="str">
        <f>T("   940520")</f>
        <v xml:space="preserve">   940520</v>
      </c>
      <c r="B986" t="str">
        <f>T("   Lampes de chevet, lampes de bureau et lampadaires d'intérieur, électriques")</f>
        <v xml:space="preserve">   Lampes de chevet, lampes de bureau et lampadaires d'intérieur, électriques</v>
      </c>
      <c r="C986">
        <v>5482514</v>
      </c>
      <c r="D986">
        <v>708</v>
      </c>
    </row>
    <row r="987" spans="1:4" x14ac:dyDescent="0.25">
      <c r="A987" t="str">
        <f>T("   940540")</f>
        <v xml:space="preserve">   940540</v>
      </c>
      <c r="B987" t="str">
        <f>T("   Appareils d'éclairage électrique, n.d.a.")</f>
        <v xml:space="preserve">   Appareils d'éclairage électrique, n.d.a.</v>
      </c>
      <c r="C987">
        <v>5071227</v>
      </c>
      <c r="D987">
        <v>660</v>
      </c>
    </row>
    <row r="988" spans="1:4" x14ac:dyDescent="0.25">
      <c r="A988" t="str">
        <f>T("   940600")</f>
        <v xml:space="preserve">   940600</v>
      </c>
      <c r="B988" t="str">
        <f>T("   Constructions préfabriquées, même incomplètes ou non encore montées")</f>
        <v xml:space="preserve">   Constructions préfabriquées, même incomplètes ou non encore montées</v>
      </c>
      <c r="C988">
        <v>102592144</v>
      </c>
      <c r="D988">
        <v>68615</v>
      </c>
    </row>
    <row r="989" spans="1:4" x14ac:dyDescent="0.25">
      <c r="A989" t="str">
        <f>T("   950300")</f>
        <v xml:space="preserve">   950300</v>
      </c>
      <c r="B989"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989">
        <v>1147353</v>
      </c>
      <c r="D989">
        <v>1508</v>
      </c>
    </row>
    <row r="990" spans="1:4" x14ac:dyDescent="0.25">
      <c r="A990" t="str">
        <f>T("   950390")</f>
        <v xml:space="preserve">   950390</v>
      </c>
      <c r="B990" t="str">
        <f>T("   Jouets, n.d.a.")</f>
        <v xml:space="preserve">   Jouets, n.d.a.</v>
      </c>
      <c r="C990">
        <v>1748789</v>
      </c>
      <c r="D990">
        <v>2495</v>
      </c>
    </row>
    <row r="991" spans="1:4" x14ac:dyDescent="0.25">
      <c r="A991" t="str">
        <f>T("   950490")</f>
        <v xml:space="preserve">   950490</v>
      </c>
      <c r="B991" t="s">
        <v>539</v>
      </c>
      <c r="C991">
        <v>944582</v>
      </c>
      <c r="D991">
        <v>1350</v>
      </c>
    </row>
    <row r="992" spans="1:4" x14ac:dyDescent="0.25">
      <c r="A992" t="str">
        <f>T("   950510")</f>
        <v xml:space="preserve">   950510</v>
      </c>
      <c r="B992" t="str">
        <f>T("   Articles pour fêtes de Noël (sauf bougies et guirlandes électriques)")</f>
        <v xml:space="preserve">   Articles pour fêtes de Noël (sauf bougies et guirlandes électriques)</v>
      </c>
      <c r="C992">
        <v>6669794</v>
      </c>
      <c r="D992">
        <v>4797</v>
      </c>
    </row>
    <row r="993" spans="1:4" x14ac:dyDescent="0.25">
      <c r="A993" t="str">
        <f>T("   950590")</f>
        <v xml:space="preserve">   950590</v>
      </c>
      <c r="B993" t="str">
        <f>T("   Articles pour fêtes, carnaval ou autres divertissements, y.c. les articles de magie et articles-surprises, n.d.a.")</f>
        <v xml:space="preserve">   Articles pour fêtes, carnaval ou autres divertissements, y.c. les articles de magie et articles-surprises, n.d.a.</v>
      </c>
      <c r="C993">
        <v>17479740</v>
      </c>
      <c r="D993">
        <v>6359</v>
      </c>
    </row>
    <row r="994" spans="1:4" x14ac:dyDescent="0.25">
      <c r="A994" t="str">
        <f>T("   950699")</f>
        <v xml:space="preserve">   950699</v>
      </c>
      <c r="B994" t="str">
        <f>T("   Articles et matériel pour le sport et les jeux de plein air, n.d.a.; piscines et pataugeoires")</f>
        <v xml:space="preserve">   Articles et matériel pour le sport et les jeux de plein air, n.d.a.; piscines et pataugeoires</v>
      </c>
      <c r="C994">
        <v>738278</v>
      </c>
      <c r="D994">
        <v>1330</v>
      </c>
    </row>
    <row r="995" spans="1:4" x14ac:dyDescent="0.25">
      <c r="A995" t="str">
        <f>T("   960321")</f>
        <v xml:space="preserve">   960321</v>
      </c>
      <c r="B995" t="str">
        <f>T("   Brosses à dent, y.c. brosses à prothèses dentaires")</f>
        <v xml:space="preserve">   Brosses à dent, y.c. brosses à prothèses dentaires</v>
      </c>
      <c r="C995">
        <v>273942</v>
      </c>
      <c r="D995">
        <v>70</v>
      </c>
    </row>
    <row r="996" spans="1:4" x14ac:dyDescent="0.25">
      <c r="A996" t="str">
        <f>T("   960329")</f>
        <v xml:space="preserve">   960329</v>
      </c>
      <c r="B996"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996">
        <v>200724</v>
      </c>
      <c r="D996">
        <v>240</v>
      </c>
    </row>
    <row r="997" spans="1:4" x14ac:dyDescent="0.25">
      <c r="A997" t="str">
        <f>T("   960400")</f>
        <v xml:space="preserve">   960400</v>
      </c>
      <c r="B997" t="str">
        <f>T("   Tamis et cribles, à main (sauf simples égouttoirs et passoires)")</f>
        <v xml:space="preserve">   Tamis et cribles, à main (sauf simples égouttoirs et passoires)</v>
      </c>
      <c r="C997">
        <v>2698488</v>
      </c>
      <c r="D997">
        <v>65</v>
      </c>
    </row>
    <row r="998" spans="1:4" x14ac:dyDescent="0.25">
      <c r="A998" t="str">
        <f>T("   960711")</f>
        <v xml:space="preserve">   960711</v>
      </c>
      <c r="B998" t="str">
        <f>T("   Fermetures à glissière avec agrafes en métaux communs")</f>
        <v xml:space="preserve">   Fermetures à glissière avec agrafes en métaux communs</v>
      </c>
      <c r="C998">
        <v>90268</v>
      </c>
      <c r="D998">
        <v>900</v>
      </c>
    </row>
    <row r="999" spans="1:4" x14ac:dyDescent="0.25">
      <c r="A999" t="str">
        <f>T("   960810")</f>
        <v xml:space="preserve">   960810</v>
      </c>
      <c r="B999" t="str">
        <f>T("   Stylos et crayons à bille")</f>
        <v xml:space="preserve">   Stylos et crayons à bille</v>
      </c>
      <c r="C999">
        <v>108889</v>
      </c>
      <c r="D999">
        <v>26</v>
      </c>
    </row>
    <row r="1000" spans="1:4" x14ac:dyDescent="0.25">
      <c r="A1000" t="str">
        <f>T("   960850")</f>
        <v xml:space="preserve">   960850</v>
      </c>
      <c r="B1000" t="str">
        <f>T("   Assortiments d'articles relevant d'au moins deux des produits suivants stylos et crayons à billes, stylos et marqueurs à pointe fibre ou à mèche feutre, porte-plume et porte-mine")</f>
        <v xml:space="preserve">   Assortiments d'articles relevant d'au moins deux des produits suivants stylos et crayons à billes, stylos et marqueurs à pointe fibre ou à mèche feutre, porte-plume et porte-mine</v>
      </c>
      <c r="C1000">
        <v>196788</v>
      </c>
      <c r="D1000">
        <v>372</v>
      </c>
    </row>
    <row r="1001" spans="1:4" x14ac:dyDescent="0.25">
      <c r="A1001" t="str">
        <f>T("   961000")</f>
        <v xml:space="preserve">   961000</v>
      </c>
      <c r="B1001" t="str">
        <f>T("   Ardoises et tableaux pour l'écriture ou le dessin, même encadrés")</f>
        <v xml:space="preserve">   Ardoises et tableaux pour l'écriture ou le dessin, même encadrés</v>
      </c>
      <c r="C1001">
        <v>2623840</v>
      </c>
      <c r="D1001">
        <v>250</v>
      </c>
    </row>
    <row r="1002" spans="1:4" x14ac:dyDescent="0.25">
      <c r="A1002" t="str">
        <f>T("   961210")</f>
        <v xml:space="preserve">   961210</v>
      </c>
      <c r="B1002"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1002">
        <v>195588</v>
      </c>
      <c r="D1002">
        <v>7</v>
      </c>
    </row>
    <row r="1003" spans="1:4" x14ac:dyDescent="0.25">
      <c r="A1003" t="str">
        <f>T("BF")</f>
        <v>BF</v>
      </c>
      <c r="B1003" t="str">
        <f>T("Burkina Faso")</f>
        <v>Burkina Faso</v>
      </c>
    </row>
    <row r="1004" spans="1:4" x14ac:dyDescent="0.25">
      <c r="A1004" t="str">
        <f>T("   ZZ_Total_Produit_SH6")</f>
        <v xml:space="preserve">   ZZ_Total_Produit_SH6</v>
      </c>
      <c r="B1004" t="str">
        <f>T("   ZZ_Total_Produit_SH6")</f>
        <v xml:space="preserve">   ZZ_Total_Produit_SH6</v>
      </c>
      <c r="C1004">
        <v>107865294</v>
      </c>
      <c r="D1004">
        <v>107943.5</v>
      </c>
    </row>
    <row r="1005" spans="1:4" x14ac:dyDescent="0.25">
      <c r="A1005" t="str">
        <f>T("   110311")</f>
        <v xml:space="preserve">   110311</v>
      </c>
      <c r="B1005" t="str">
        <f>T("   Gruaux et semoules de froment [blé]")</f>
        <v xml:space="preserve">   Gruaux et semoules de froment [blé]</v>
      </c>
      <c r="C1005">
        <v>336974</v>
      </c>
      <c r="D1005">
        <v>50</v>
      </c>
    </row>
    <row r="1006" spans="1:4" x14ac:dyDescent="0.25">
      <c r="A1006" t="str">
        <f>T("   210320")</f>
        <v xml:space="preserve">   210320</v>
      </c>
      <c r="B1006" t="str">
        <f>T("   Tomato ketchup et autres sauces tomates")</f>
        <v xml:space="preserve">   Tomato ketchup et autres sauces tomates</v>
      </c>
      <c r="C1006">
        <v>7525000</v>
      </c>
      <c r="D1006">
        <v>2150</v>
      </c>
    </row>
    <row r="1007" spans="1:4" x14ac:dyDescent="0.25">
      <c r="A1007" t="str">
        <f>T("   271019")</f>
        <v xml:space="preserve">   271019</v>
      </c>
      <c r="B1007" t="str">
        <f>T("   Huiles moyennes et préparations, de pétrole ou de minéraux bitumineux, n.d.a.")</f>
        <v xml:space="preserve">   Huiles moyennes et préparations, de pétrole ou de minéraux bitumineux, n.d.a.</v>
      </c>
      <c r="C1007">
        <v>6753930</v>
      </c>
      <c r="D1007">
        <v>20259</v>
      </c>
    </row>
    <row r="1008" spans="1:4" x14ac:dyDescent="0.25">
      <c r="A1008" t="str">
        <f>T("   300620")</f>
        <v xml:space="preserve">   300620</v>
      </c>
      <c r="B1008" t="str">
        <f>T("   Réactifs destinés à la détermination des groupes ou des facteurs sanguins")</f>
        <v xml:space="preserve">   Réactifs destinés à la détermination des groupes ou des facteurs sanguins</v>
      </c>
      <c r="C1008">
        <v>19679</v>
      </c>
      <c r="D1008">
        <v>2</v>
      </c>
    </row>
    <row r="1009" spans="1:4" x14ac:dyDescent="0.25">
      <c r="A1009" t="str">
        <f>T("   490700")</f>
        <v xml:space="preserve">   490700</v>
      </c>
      <c r="B1009" t="s">
        <v>237</v>
      </c>
      <c r="C1009">
        <v>5343550</v>
      </c>
      <c r="D1009">
        <v>2063</v>
      </c>
    </row>
    <row r="1010" spans="1:4" x14ac:dyDescent="0.25">
      <c r="A1010" t="str">
        <f>T("   520829")</f>
        <v xml:space="preserve">   520829</v>
      </c>
      <c r="B1010"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010">
        <v>2027744</v>
      </c>
      <c r="D1010">
        <v>2000</v>
      </c>
    </row>
    <row r="1011" spans="1:4" x14ac:dyDescent="0.25">
      <c r="A1011" t="str">
        <f>T("   520849")</f>
        <v xml:space="preserve">   520849</v>
      </c>
      <c r="B1011"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1011">
        <v>673879</v>
      </c>
      <c r="D1011">
        <v>641</v>
      </c>
    </row>
    <row r="1012" spans="1:4" x14ac:dyDescent="0.25">
      <c r="A1012" t="str">
        <f>T("   520851")</f>
        <v xml:space="preserve">   520851</v>
      </c>
      <c r="B1012" t="str">
        <f>T("   Tissus de coton, imprimés, à armure toile, contenant &gt;= 85% en poids de coton, d'un poids &lt;= 100 g/m²")</f>
        <v xml:space="preserve">   Tissus de coton, imprimés, à armure toile, contenant &gt;= 85% en poids de coton, d'un poids &lt;= 100 g/m²</v>
      </c>
      <c r="C1012">
        <v>499000</v>
      </c>
      <c r="D1012">
        <v>640</v>
      </c>
    </row>
    <row r="1013" spans="1:4" x14ac:dyDescent="0.25">
      <c r="A1013" t="str">
        <f>T("   520859")</f>
        <v xml:space="preserve">   520859</v>
      </c>
      <c r="B1013" t="str">
        <f>T("   TISSUS DE COTON, IMPRIMÉS, CONTENANT &gt;= 85% EN POIDS DE COTON, D'UN POIDS &lt;= 200 G/M² (À L'EXCL. DES TISSUS À ARMURE TOILE)")</f>
        <v xml:space="preserve">   TISSUS DE COTON, IMPRIMÉS, CONTENANT &gt;= 85% EN POIDS DE COTON, D'UN POIDS &lt;= 200 G/M² (À L'EXCL. DES TISSUS À ARMURE TOILE)</v>
      </c>
      <c r="C1013">
        <v>30540767</v>
      </c>
      <c r="D1013">
        <v>22257</v>
      </c>
    </row>
    <row r="1014" spans="1:4" x14ac:dyDescent="0.25">
      <c r="A1014" t="str">
        <f>T("   521223")</f>
        <v xml:space="preserve">   521223</v>
      </c>
      <c r="B1014" t="str">
        <f>T("   Tissus de coton, teints, contenant en prédominance, mais &lt; 85% en poids de coton, autres que mélangés principalement ou uniquement avec des fibres synthétiques ou artificielles, d'un poids &gt; 200 g/m²")</f>
        <v xml:space="preserve">   Tissus de coton, teints, contenant en prédominance, mais &lt; 85% en poids de coton, autres que mélangés principalement ou uniquement avec des fibres synthétiques ou artificielles, d'un poids &gt; 200 g/m²</v>
      </c>
      <c r="C1014">
        <v>3089598</v>
      </c>
      <c r="D1014">
        <v>2285</v>
      </c>
    </row>
    <row r="1015" spans="1:4" x14ac:dyDescent="0.25">
      <c r="A1015" t="str">
        <f>T("   650691")</f>
        <v xml:space="preserve">   650691</v>
      </c>
      <c r="B1015" t="s">
        <v>313</v>
      </c>
      <c r="C1015">
        <v>87428</v>
      </c>
      <c r="D1015">
        <v>14</v>
      </c>
    </row>
    <row r="1016" spans="1:4" x14ac:dyDescent="0.25">
      <c r="A1016" t="str">
        <f>T("   847180")</f>
        <v xml:space="preserve">   847180</v>
      </c>
      <c r="B101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16">
        <v>800000</v>
      </c>
      <c r="D1016">
        <v>22</v>
      </c>
    </row>
    <row r="1017" spans="1:4" x14ac:dyDescent="0.25">
      <c r="A1017" t="str">
        <f>T("   847190")</f>
        <v xml:space="preserve">   847190</v>
      </c>
      <c r="B101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17">
        <v>1690000</v>
      </c>
      <c r="D1017">
        <v>550</v>
      </c>
    </row>
    <row r="1018" spans="1:4" x14ac:dyDescent="0.25">
      <c r="A1018" t="str">
        <f>T("   847431")</f>
        <v xml:space="preserve">   847431</v>
      </c>
      <c r="B1018"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18">
        <v>75000</v>
      </c>
      <c r="D1018">
        <v>800</v>
      </c>
    </row>
    <row r="1019" spans="1:4" x14ac:dyDescent="0.25">
      <c r="A1019" t="str">
        <f>T("   851539")</f>
        <v xml:space="preserve">   851539</v>
      </c>
      <c r="B1019" t="str">
        <f>T("   MACHINES ET APPAREILS POUR LE SOUDAGE DES MÉTAUX À L'ARC OU AU JET DE PLASMA, NON-AUTOMATIQUES")</f>
        <v xml:space="preserve">   MACHINES ET APPAREILS POUR LE SOUDAGE DES MÉTAUX À L'ARC OU AU JET DE PLASMA, NON-AUTOMATIQUES</v>
      </c>
      <c r="C1019">
        <v>6085000</v>
      </c>
      <c r="D1019">
        <v>4900</v>
      </c>
    </row>
    <row r="1020" spans="1:4" x14ac:dyDescent="0.25">
      <c r="A1020" t="str">
        <f>T("   860900")</f>
        <v xml:space="preserve">   860900</v>
      </c>
      <c r="B1020"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020">
        <v>6000000</v>
      </c>
      <c r="D1020">
        <v>15000</v>
      </c>
    </row>
    <row r="1021" spans="1:4" x14ac:dyDescent="0.25">
      <c r="A1021" t="str">
        <f>T("   870120")</f>
        <v xml:space="preserve">   870120</v>
      </c>
      <c r="B1021" t="str">
        <f>T("   Tracteurs routiers pour semi-remorques")</f>
        <v xml:space="preserve">   Tracteurs routiers pour semi-remorques</v>
      </c>
      <c r="C1021">
        <v>1200000</v>
      </c>
      <c r="D1021">
        <v>6970</v>
      </c>
    </row>
    <row r="1022" spans="1:4" x14ac:dyDescent="0.25">
      <c r="A1022" t="str">
        <f>T("   870321")</f>
        <v xml:space="preserve">   870321</v>
      </c>
      <c r="B1022" t="s">
        <v>505</v>
      </c>
      <c r="C1022">
        <v>1200000</v>
      </c>
      <c r="D1022">
        <v>750</v>
      </c>
    </row>
    <row r="1023" spans="1:4" x14ac:dyDescent="0.25">
      <c r="A1023" t="str">
        <f>T("   870322")</f>
        <v xml:space="preserve">   870322</v>
      </c>
      <c r="B1023" t="s">
        <v>506</v>
      </c>
      <c r="C1023">
        <v>2400000</v>
      </c>
      <c r="D1023">
        <v>2250</v>
      </c>
    </row>
    <row r="1024" spans="1:4" x14ac:dyDescent="0.25">
      <c r="A1024" t="str">
        <f>T("   870323")</f>
        <v xml:space="preserve">   870323</v>
      </c>
      <c r="B1024" t="s">
        <v>507</v>
      </c>
      <c r="C1024">
        <v>2400000</v>
      </c>
      <c r="D1024">
        <v>4425</v>
      </c>
    </row>
    <row r="1025" spans="1:4" x14ac:dyDescent="0.25">
      <c r="A1025" t="str">
        <f>T("   870421")</f>
        <v xml:space="preserve">   870421</v>
      </c>
      <c r="B1025" t="s">
        <v>512</v>
      </c>
      <c r="C1025">
        <v>23000000</v>
      </c>
      <c r="D1025">
        <v>3360</v>
      </c>
    </row>
    <row r="1026" spans="1:4" x14ac:dyDescent="0.25">
      <c r="A1026" t="str">
        <f>T("   870422")</f>
        <v xml:space="preserve">   870422</v>
      </c>
      <c r="B1026" t="s">
        <v>513</v>
      </c>
      <c r="C1026">
        <v>4000000</v>
      </c>
      <c r="D1026">
        <v>14000</v>
      </c>
    </row>
    <row r="1027" spans="1:4" x14ac:dyDescent="0.25">
      <c r="A1027" t="str">
        <f>T("   901890")</f>
        <v xml:space="preserve">   901890</v>
      </c>
      <c r="B1027" t="str">
        <f>T("   Instruments et appareils pour la médecine, la chirurgie ou l'art vétérinaire, n.d.a.")</f>
        <v xml:space="preserve">   Instruments et appareils pour la médecine, la chirurgie ou l'art vétérinaire, n.d.a.</v>
      </c>
      <c r="C1027">
        <v>117745</v>
      </c>
      <c r="D1027">
        <v>49.5</v>
      </c>
    </row>
    <row r="1028" spans="1:4" x14ac:dyDescent="0.25">
      <c r="A1028" t="str">
        <f>T("   930200")</f>
        <v xml:space="preserve">   930200</v>
      </c>
      <c r="B1028" t="str">
        <f>T("   Revolvers et pistolets (autres que ceux du n° 9303 ou 9304 et pistolets-mitrailleurs de guerre)")</f>
        <v xml:space="preserve">   Revolvers et pistolets (autres que ceux du n° 9303 ou 9304 et pistolets-mitrailleurs de guerre)</v>
      </c>
      <c r="C1028">
        <v>1000000</v>
      </c>
      <c r="D1028">
        <v>6</v>
      </c>
    </row>
    <row r="1029" spans="1:4" x14ac:dyDescent="0.25">
      <c r="A1029" t="str">
        <f>T("   940389")</f>
        <v xml:space="preserve">   940389</v>
      </c>
      <c r="B102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029">
        <v>1000000</v>
      </c>
      <c r="D1029">
        <v>2500</v>
      </c>
    </row>
    <row r="1030" spans="1:4" x14ac:dyDescent="0.25">
      <c r="A1030" t="str">
        <f>T("BG")</f>
        <v>BG</v>
      </c>
      <c r="B1030" t="str">
        <f>T("Bulgarie")</f>
        <v>Bulgarie</v>
      </c>
    </row>
    <row r="1031" spans="1:4" x14ac:dyDescent="0.25">
      <c r="A1031" t="str">
        <f>T("   ZZ_Total_Produit_SH6")</f>
        <v xml:space="preserve">   ZZ_Total_Produit_SH6</v>
      </c>
      <c r="B1031" t="str">
        <f>T("   ZZ_Total_Produit_SH6")</f>
        <v xml:space="preserve">   ZZ_Total_Produit_SH6</v>
      </c>
      <c r="C1031">
        <v>41742819</v>
      </c>
      <c r="D1031">
        <v>133078</v>
      </c>
    </row>
    <row r="1032" spans="1:4" x14ac:dyDescent="0.25">
      <c r="A1032" t="str">
        <f>T("   200980")</f>
        <v xml:space="preserve">   200980</v>
      </c>
      <c r="B1032"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32">
        <v>18190557</v>
      </c>
      <c r="D1032">
        <v>56700</v>
      </c>
    </row>
    <row r="1033" spans="1:4" x14ac:dyDescent="0.25">
      <c r="A1033" t="str">
        <f>T("   220290")</f>
        <v xml:space="preserve">   220290</v>
      </c>
      <c r="B1033" t="str">
        <f>T("   BOISSONS NON-ALCOOLIQUES (À L'EXCL. DES EAUX, DES JUS DE FRUITS OU DE LÉGUMES AINSI QUE DU LAIT)")</f>
        <v xml:space="preserve">   BOISSONS NON-ALCOOLIQUES (À L'EXCL. DES EAUX, DES JUS DE FRUITS OU DE LÉGUMES AINSI QUE DU LAIT)</v>
      </c>
      <c r="C1033">
        <v>2030052</v>
      </c>
      <c r="D1033">
        <v>19388</v>
      </c>
    </row>
    <row r="1034" spans="1:4" x14ac:dyDescent="0.25">
      <c r="A1034" t="str">
        <f>T("   220421")</f>
        <v xml:space="preserve">   220421</v>
      </c>
      <c r="B103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34">
        <v>4786718</v>
      </c>
      <c r="D1034">
        <v>14716</v>
      </c>
    </row>
    <row r="1035" spans="1:4" x14ac:dyDescent="0.25">
      <c r="A1035" t="str">
        <f>T("   220850")</f>
        <v xml:space="preserve">   220850</v>
      </c>
      <c r="B1035" t="str">
        <f>T("   Gin et genièvre")</f>
        <v xml:space="preserve">   Gin et genièvre</v>
      </c>
      <c r="C1035">
        <v>1122439</v>
      </c>
      <c r="D1035">
        <v>3256</v>
      </c>
    </row>
    <row r="1036" spans="1:4" x14ac:dyDescent="0.25">
      <c r="A1036" t="str">
        <f>T("   220860")</f>
        <v xml:space="preserve">   220860</v>
      </c>
      <c r="B1036" t="str">
        <f>T("   VODKA")</f>
        <v xml:space="preserve">   VODKA</v>
      </c>
      <c r="C1036">
        <v>12489335</v>
      </c>
      <c r="D1036">
        <v>36144</v>
      </c>
    </row>
    <row r="1037" spans="1:4" x14ac:dyDescent="0.25">
      <c r="A1037" t="str">
        <f>T("   220890")</f>
        <v xml:space="preserve">   220890</v>
      </c>
      <c r="B1037" t="s">
        <v>61</v>
      </c>
      <c r="C1037">
        <v>237583</v>
      </c>
      <c r="D1037">
        <v>622</v>
      </c>
    </row>
    <row r="1038" spans="1:4" x14ac:dyDescent="0.25">
      <c r="A1038" t="str">
        <f>T("   330300")</f>
        <v xml:space="preserve">   330300</v>
      </c>
      <c r="B103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38">
        <v>768785</v>
      </c>
      <c r="D1038">
        <v>444</v>
      </c>
    </row>
    <row r="1039" spans="1:4" x14ac:dyDescent="0.25">
      <c r="A1039" t="str">
        <f>T("   392329")</f>
        <v xml:space="preserve">   392329</v>
      </c>
      <c r="B1039" t="str">
        <f>T("   Sacs, sachets, pochettes et cornets, en matières plastiques (autres que les polymères de l'éthylène)")</f>
        <v xml:space="preserve">   Sacs, sachets, pochettes et cornets, en matières plastiques (autres que les polymères de l'éthylène)</v>
      </c>
      <c r="C1039">
        <v>1588</v>
      </c>
      <c r="D1039">
        <v>1</v>
      </c>
    </row>
    <row r="1040" spans="1:4" x14ac:dyDescent="0.25">
      <c r="A1040" t="str">
        <f>T("   441510")</f>
        <v xml:space="preserve">   441510</v>
      </c>
      <c r="B1040" t="str">
        <f>T("   Caisses, caissettes, cageots, cylindres et emballages simil., en bois; tambours [tourets] pour câbles, en bois")</f>
        <v xml:space="preserve">   Caisses, caissettes, cageots, cylindres et emballages simil., en bois; tambours [tourets] pour câbles, en bois</v>
      </c>
      <c r="C1040">
        <v>11341</v>
      </c>
      <c r="D1040">
        <v>34</v>
      </c>
    </row>
    <row r="1041" spans="1:4" x14ac:dyDescent="0.25">
      <c r="A1041" t="str">
        <f>T("   491199")</f>
        <v xml:space="preserve">   491199</v>
      </c>
      <c r="B1041" t="str">
        <f>T("   Imprimés, n.d.a.")</f>
        <v xml:space="preserve">   Imprimés, n.d.a.</v>
      </c>
      <c r="C1041">
        <v>25000</v>
      </c>
      <c r="D1041">
        <v>3</v>
      </c>
    </row>
    <row r="1042" spans="1:4" x14ac:dyDescent="0.25">
      <c r="A1042" t="str">
        <f>T("   521223")</f>
        <v xml:space="preserve">   521223</v>
      </c>
      <c r="B1042" t="str">
        <f>T("   Tissus de coton, teints, contenant en prédominance, mais &lt; 85% en poids de coton, autres que mélangés principalement ou uniquement avec des fibres synthétiques ou artificielles, d'un poids &gt; 200 g/m²")</f>
        <v xml:space="preserve">   Tissus de coton, teints, contenant en prédominance, mais &lt; 85% en poids de coton, autres que mélangés principalement ou uniquement avec des fibres synthétiques ou artificielles, d'un poids &gt; 200 g/m²</v>
      </c>
      <c r="C1042">
        <v>556000</v>
      </c>
      <c r="D1042">
        <v>535</v>
      </c>
    </row>
    <row r="1043" spans="1:4" x14ac:dyDescent="0.25">
      <c r="A1043" t="str">
        <f>T("   650590")</f>
        <v xml:space="preserve">   650590</v>
      </c>
      <c r="B1043" t="s">
        <v>312</v>
      </c>
      <c r="C1043">
        <v>1338</v>
      </c>
      <c r="D1043">
        <v>3</v>
      </c>
    </row>
    <row r="1044" spans="1:4" x14ac:dyDescent="0.25">
      <c r="A1044" t="str">
        <f>T("   660199")</f>
        <v xml:space="preserve">   660199</v>
      </c>
      <c r="B104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044">
        <v>15953</v>
      </c>
      <c r="D1044">
        <v>6</v>
      </c>
    </row>
    <row r="1045" spans="1:4" x14ac:dyDescent="0.25">
      <c r="A1045" t="str">
        <f>T("   730799")</f>
        <v xml:space="preserve">   730799</v>
      </c>
      <c r="B104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045">
        <v>295182</v>
      </c>
      <c r="D1045">
        <v>455</v>
      </c>
    </row>
    <row r="1046" spans="1:4" x14ac:dyDescent="0.25">
      <c r="A1046" t="str">
        <f>T("   830250")</f>
        <v xml:space="preserve">   830250</v>
      </c>
      <c r="B1046" t="str">
        <f>T("   Patères, porte-chapeaux, supports et articles simil. en métaux communs")</f>
        <v xml:space="preserve">   Patères, porte-chapeaux, supports et articles simil. en métaux communs</v>
      </c>
      <c r="C1046">
        <v>7760</v>
      </c>
      <c r="D1046">
        <v>20</v>
      </c>
    </row>
    <row r="1047" spans="1:4" x14ac:dyDescent="0.25">
      <c r="A1047" t="str">
        <f>T("   870322")</f>
        <v xml:space="preserve">   870322</v>
      </c>
      <c r="B1047" t="s">
        <v>506</v>
      </c>
      <c r="C1047">
        <v>1200000</v>
      </c>
      <c r="D1047">
        <v>750</v>
      </c>
    </row>
    <row r="1048" spans="1:4" x14ac:dyDescent="0.25">
      <c r="A1048" t="str">
        <f>T("   960810")</f>
        <v xml:space="preserve">   960810</v>
      </c>
      <c r="B1048" t="str">
        <f>T("   Stylos et crayons à bille")</f>
        <v xml:space="preserve">   Stylos et crayons à bille</v>
      </c>
      <c r="C1048">
        <v>3188</v>
      </c>
      <c r="D1048">
        <v>1</v>
      </c>
    </row>
    <row r="1049" spans="1:4" x14ac:dyDescent="0.25">
      <c r="A1049" t="str">
        <f>T("BI")</f>
        <v>BI</v>
      </c>
      <c r="B1049" t="str">
        <f>T("Burundi")</f>
        <v>Burundi</v>
      </c>
    </row>
    <row r="1050" spans="1:4" x14ac:dyDescent="0.25">
      <c r="A1050" t="str">
        <f>T("   ZZ_Total_Produit_SH6")</f>
        <v xml:space="preserve">   ZZ_Total_Produit_SH6</v>
      </c>
      <c r="B1050" t="str">
        <f>T("   ZZ_Total_Produit_SH6")</f>
        <v xml:space="preserve">   ZZ_Total_Produit_SH6</v>
      </c>
      <c r="C1050">
        <v>277002</v>
      </c>
      <c r="D1050">
        <v>249</v>
      </c>
    </row>
    <row r="1051" spans="1:4" x14ac:dyDescent="0.25">
      <c r="A1051" t="str">
        <f>T("   420211")</f>
        <v xml:space="preserve">   420211</v>
      </c>
      <c r="B1051"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051">
        <v>56402</v>
      </c>
      <c r="D1051">
        <v>9</v>
      </c>
    </row>
    <row r="1052" spans="1:4" x14ac:dyDescent="0.25">
      <c r="A1052" t="str">
        <f>T("   490199")</f>
        <v xml:space="preserve">   490199</v>
      </c>
      <c r="B105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52">
        <v>166249</v>
      </c>
      <c r="D1052">
        <v>200</v>
      </c>
    </row>
    <row r="1053" spans="1:4" x14ac:dyDescent="0.25">
      <c r="A1053" t="str">
        <f>T("   610910")</f>
        <v xml:space="preserve">   610910</v>
      </c>
      <c r="B1053" t="str">
        <f>T("   T-shirts et maillots de corps, en bonneterie, de coton,")</f>
        <v xml:space="preserve">   T-shirts et maillots de corps, en bonneterie, de coton,</v>
      </c>
      <c r="C1053">
        <v>54351</v>
      </c>
      <c r="D1053">
        <v>40</v>
      </c>
    </row>
    <row r="1054" spans="1:4" x14ac:dyDescent="0.25">
      <c r="A1054" t="str">
        <f>T("BJ")</f>
        <v>BJ</v>
      </c>
      <c r="B1054" t="str">
        <f>T("Bénin")</f>
        <v>Bénin</v>
      </c>
    </row>
    <row r="1055" spans="1:4" x14ac:dyDescent="0.25">
      <c r="A1055" t="str">
        <f>T("   ZZ_Total_Produit_SH6")</f>
        <v xml:space="preserve">   ZZ_Total_Produit_SH6</v>
      </c>
      <c r="B1055" t="str">
        <f>T("   ZZ_Total_Produit_SH6")</f>
        <v xml:space="preserve">   ZZ_Total_Produit_SH6</v>
      </c>
      <c r="C1055">
        <v>3096283</v>
      </c>
      <c r="D1055">
        <v>80</v>
      </c>
    </row>
    <row r="1056" spans="1:4" x14ac:dyDescent="0.25">
      <c r="A1056" t="str">
        <f>T("   842290")</f>
        <v xml:space="preserve">   842290</v>
      </c>
      <c r="B105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056">
        <v>3096283</v>
      </c>
      <c r="D1056">
        <v>80</v>
      </c>
    </row>
    <row r="1057" spans="1:4" x14ac:dyDescent="0.25">
      <c r="A1057" t="str">
        <f>T("BN")</f>
        <v>BN</v>
      </c>
      <c r="B1057" t="str">
        <f>T("Brunei Darussalam")</f>
        <v>Brunei Darussalam</v>
      </c>
    </row>
    <row r="1058" spans="1:4" x14ac:dyDescent="0.25">
      <c r="A1058" t="str">
        <f>T("   ZZ_Total_Produit_SH6")</f>
        <v xml:space="preserve">   ZZ_Total_Produit_SH6</v>
      </c>
      <c r="B1058" t="str">
        <f>T("   ZZ_Total_Produit_SH6")</f>
        <v xml:space="preserve">   ZZ_Total_Produit_SH6</v>
      </c>
      <c r="C1058">
        <v>96341</v>
      </c>
      <c r="D1058">
        <v>115</v>
      </c>
    </row>
    <row r="1059" spans="1:4" x14ac:dyDescent="0.25">
      <c r="A1059" t="str">
        <f>T("   851610")</f>
        <v xml:space="preserve">   851610</v>
      </c>
      <c r="B1059" t="str">
        <f>T("   Chauffe-eau et thermoplongeurs électriques")</f>
        <v xml:space="preserve">   Chauffe-eau et thermoplongeurs électriques</v>
      </c>
      <c r="C1059">
        <v>96341</v>
      </c>
      <c r="D1059">
        <v>115</v>
      </c>
    </row>
    <row r="1060" spans="1:4" x14ac:dyDescent="0.25">
      <c r="A1060" t="str">
        <f>T("BO")</f>
        <v>BO</v>
      </c>
      <c r="B1060" t="str">
        <f>T("Bolivie")</f>
        <v>Bolivie</v>
      </c>
    </row>
    <row r="1061" spans="1:4" x14ac:dyDescent="0.25">
      <c r="A1061" t="str">
        <f>T("   ZZ_Total_Produit_SH6")</f>
        <v xml:space="preserve">   ZZ_Total_Produit_SH6</v>
      </c>
      <c r="B1061" t="str">
        <f>T("   ZZ_Total_Produit_SH6")</f>
        <v xml:space="preserve">   ZZ_Total_Produit_SH6</v>
      </c>
      <c r="C1061">
        <v>21000000</v>
      </c>
      <c r="D1061">
        <v>23777</v>
      </c>
    </row>
    <row r="1062" spans="1:4" x14ac:dyDescent="0.25">
      <c r="A1062" t="str">
        <f>T("   520859")</f>
        <v xml:space="preserve">   520859</v>
      </c>
      <c r="B1062" t="str">
        <f>T("   TISSUS DE COTON, IMPRIMÉS, CONTENANT &gt;= 85% EN POIDS DE COTON, D'UN POIDS &lt;= 200 G/M² (À L'EXCL. DES TISSUS À ARMURE TOILE)")</f>
        <v xml:space="preserve">   TISSUS DE COTON, IMPRIMÉS, CONTENANT &gt;= 85% EN POIDS DE COTON, D'UN POIDS &lt;= 200 G/M² (À L'EXCL. DES TISSUS À ARMURE TOILE)</v>
      </c>
      <c r="C1062">
        <v>17000000</v>
      </c>
      <c r="D1062">
        <v>19913</v>
      </c>
    </row>
    <row r="1063" spans="1:4" x14ac:dyDescent="0.25">
      <c r="A1063" t="str">
        <f>T("   620590")</f>
        <v xml:space="preserve">   620590</v>
      </c>
      <c r="B106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63">
        <v>500000</v>
      </c>
      <c r="D1063">
        <v>364</v>
      </c>
    </row>
    <row r="1064" spans="1:4" x14ac:dyDescent="0.25">
      <c r="A1064" t="str">
        <f>T("   732399")</f>
        <v xml:space="preserve">   732399</v>
      </c>
      <c r="B1064" t="s">
        <v>390</v>
      </c>
      <c r="C1064">
        <v>1000000</v>
      </c>
      <c r="D1064">
        <v>1000</v>
      </c>
    </row>
    <row r="1065" spans="1:4" x14ac:dyDescent="0.25">
      <c r="A1065" t="str">
        <f>T("   940360")</f>
        <v xml:space="preserve">   940360</v>
      </c>
      <c r="B1065" t="str">
        <f>T("   Meubles en bois (autres que pour bureaux, cuisines ou chambres à coucher et autres que sièges)")</f>
        <v xml:space="preserve">   Meubles en bois (autres que pour bureaux, cuisines ou chambres à coucher et autres que sièges)</v>
      </c>
      <c r="C1065">
        <v>2500000</v>
      </c>
      <c r="D1065">
        <v>2500</v>
      </c>
    </row>
    <row r="1066" spans="1:4" x14ac:dyDescent="0.25">
      <c r="A1066" t="str">
        <f>T("BR")</f>
        <v>BR</v>
      </c>
      <c r="B1066" t="str">
        <f>T("Brésil")</f>
        <v>Brésil</v>
      </c>
    </row>
    <row r="1067" spans="1:4" x14ac:dyDescent="0.25">
      <c r="A1067" t="str">
        <f>T("   ZZ_Total_Produit_SH6")</f>
        <v xml:space="preserve">   ZZ_Total_Produit_SH6</v>
      </c>
      <c r="B1067" t="str">
        <f>T("   ZZ_Total_Produit_SH6")</f>
        <v xml:space="preserve">   ZZ_Total_Produit_SH6</v>
      </c>
      <c r="C1067">
        <v>36424202575.735001</v>
      </c>
      <c r="D1067">
        <v>115370345.78</v>
      </c>
    </row>
    <row r="1068" spans="1:4" x14ac:dyDescent="0.25">
      <c r="A1068" t="str">
        <f>T("   020711")</f>
        <v xml:space="preserve">   020711</v>
      </c>
      <c r="B1068" t="str">
        <f>T("   COQS ET POULES [DES ESPÈCES DOMESTIQUES], NON-DÉCOUPÉS EN MORCEAUX, FRAIS OU RÉFRIGÉRÉS")</f>
        <v xml:space="preserve">   COQS ET POULES [DES ESPÈCES DOMESTIQUES], NON-DÉCOUPÉS EN MORCEAUX, FRAIS OU RÉFRIGÉRÉS</v>
      </c>
      <c r="C1068">
        <v>15550000</v>
      </c>
      <c r="D1068">
        <v>26000</v>
      </c>
    </row>
    <row r="1069" spans="1:4" x14ac:dyDescent="0.25">
      <c r="A1069" t="str">
        <f>T("   020712")</f>
        <v xml:space="preserve">   020712</v>
      </c>
      <c r="B1069" t="str">
        <f>T("   COQS ET POULES [DES ESPÈCES DOMESTIQUES], NON-DÉCOUPÉS EN MORCEAUX, CONGELÉS")</f>
        <v xml:space="preserve">   COQS ET POULES [DES ESPÈCES DOMESTIQUES], NON-DÉCOUPÉS EN MORCEAUX, CONGELÉS</v>
      </c>
      <c r="C1069">
        <v>476186985</v>
      </c>
      <c r="D1069">
        <v>769447</v>
      </c>
    </row>
    <row r="1070" spans="1:4" x14ac:dyDescent="0.25">
      <c r="A1070" t="str">
        <f>T("   020714")</f>
        <v xml:space="preserve">   020714</v>
      </c>
      <c r="B1070" t="str">
        <f>T("   Morceaux et abats comestibles de coqs et de poules [des espèces domestiques], congelés")</f>
        <v xml:space="preserve">   Morceaux et abats comestibles de coqs et de poules [des espèces domestiques], congelés</v>
      </c>
      <c r="C1070">
        <v>4229433233</v>
      </c>
      <c r="D1070">
        <v>6872994.5999999996</v>
      </c>
    </row>
    <row r="1071" spans="1:4" x14ac:dyDescent="0.25">
      <c r="A1071" t="str">
        <f>T("   020727")</f>
        <v xml:space="preserve">   020727</v>
      </c>
      <c r="B1071" t="str">
        <f>T("   Morceaux et abats comestibles de dindes et dindons [des espèces domestiques], congelés")</f>
        <v xml:space="preserve">   Morceaux et abats comestibles de dindes et dindons [des espèces domestiques], congelés</v>
      </c>
      <c r="C1071">
        <v>9512998449</v>
      </c>
      <c r="D1071">
        <v>15292507</v>
      </c>
    </row>
    <row r="1072" spans="1:4" x14ac:dyDescent="0.25">
      <c r="A1072" t="str">
        <f>T("   020736")</f>
        <v xml:space="preserve">   020736</v>
      </c>
      <c r="B1072" t="str">
        <f>T("   Morceaux et abats comestibles de canards, d'oies ou de pintades [des espèces domestiques], congelés (à l'excl. des foies gras)")</f>
        <v xml:space="preserve">   Morceaux et abats comestibles de canards, d'oies ou de pintades [des espèces domestiques], congelés (à l'excl. des foies gras)</v>
      </c>
      <c r="C1072">
        <v>46650000</v>
      </c>
      <c r="D1072">
        <v>75000</v>
      </c>
    </row>
    <row r="1073" spans="1:4" x14ac:dyDescent="0.25">
      <c r="A1073" t="str">
        <f>T("   030219")</f>
        <v xml:space="preserve">   030219</v>
      </c>
      <c r="B1073" t="str">
        <f>T("   Salmonidés, frais ou réfrigérés (à l'excl. des truites et des saumons du Pacifique, de l'Atlantique et du Danube)")</f>
        <v xml:space="preserve">   Salmonidés, frais ou réfrigérés (à l'excl. des truites et des saumons du Pacifique, de l'Atlantique et du Danube)</v>
      </c>
      <c r="C1073">
        <v>6875117</v>
      </c>
      <c r="D1073">
        <v>22740</v>
      </c>
    </row>
    <row r="1074" spans="1:4" x14ac:dyDescent="0.25">
      <c r="A1074" t="str">
        <f>T("   030229")</f>
        <v xml:space="preserve">   030229</v>
      </c>
      <c r="B1074"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074">
        <v>6300496</v>
      </c>
      <c r="D1074">
        <v>28000</v>
      </c>
    </row>
    <row r="1075" spans="1:4" x14ac:dyDescent="0.25">
      <c r="A1075" t="str">
        <f>T("   030379")</f>
        <v xml:space="preserve">   030379</v>
      </c>
      <c r="B1075" t="s">
        <v>16</v>
      </c>
      <c r="C1075">
        <v>62324217</v>
      </c>
      <c r="D1075">
        <v>277000</v>
      </c>
    </row>
    <row r="1076" spans="1:4" x14ac:dyDescent="0.25">
      <c r="A1076" t="str">
        <f>T("   050400")</f>
        <v xml:space="preserve">   050400</v>
      </c>
      <c r="B107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076">
        <v>2327528593</v>
      </c>
      <c r="D1076">
        <v>1938285.44</v>
      </c>
    </row>
    <row r="1077" spans="1:4" x14ac:dyDescent="0.25">
      <c r="A1077" t="str">
        <f>T("   100590")</f>
        <v xml:space="preserve">   100590</v>
      </c>
      <c r="B1077" t="str">
        <f>T("   Maïs (autre que de semence)")</f>
        <v xml:space="preserve">   Maïs (autre que de semence)</v>
      </c>
      <c r="C1077">
        <v>62656406</v>
      </c>
      <c r="D1077">
        <v>249825</v>
      </c>
    </row>
    <row r="1078" spans="1:4" x14ac:dyDescent="0.25">
      <c r="A1078" t="str">
        <f>T("   100620")</f>
        <v xml:space="preserve">   100620</v>
      </c>
      <c r="B1078" t="str">
        <f>T("   Riz décortiqué [riz cargo ou riz brun]")</f>
        <v xml:space="preserve">   Riz décortiqué [riz cargo ou riz brun]</v>
      </c>
      <c r="C1078">
        <v>376483640.86799997</v>
      </c>
      <c r="D1078">
        <v>1125000</v>
      </c>
    </row>
    <row r="1079" spans="1:4" x14ac:dyDescent="0.25">
      <c r="A1079" t="str">
        <f>T("   100630")</f>
        <v xml:space="preserve">   100630</v>
      </c>
      <c r="B1079" t="str">
        <f>T("   Riz semi-blanchi ou blanchi, même poli ou glacé")</f>
        <v xml:space="preserve">   Riz semi-blanchi ou blanchi, même poli ou glacé</v>
      </c>
      <c r="C1079">
        <v>4966724133.7080002</v>
      </c>
      <c r="D1079">
        <v>18208409</v>
      </c>
    </row>
    <row r="1080" spans="1:4" x14ac:dyDescent="0.25">
      <c r="A1080" t="str">
        <f>T("   100640")</f>
        <v xml:space="preserve">   100640</v>
      </c>
      <c r="B1080" t="str">
        <f>T("   Riz en brisures")</f>
        <v xml:space="preserve">   Riz en brisures</v>
      </c>
      <c r="C1080">
        <v>2769320800</v>
      </c>
      <c r="D1080">
        <v>27655876</v>
      </c>
    </row>
    <row r="1081" spans="1:4" x14ac:dyDescent="0.25">
      <c r="A1081" t="str">
        <f>T("   151710")</f>
        <v xml:space="preserve">   151710</v>
      </c>
      <c r="B1081" t="str">
        <f>T("   Margarine (à l'excl. de la margarine liquide)")</f>
        <v xml:space="preserve">   Margarine (à l'excl. de la margarine liquide)</v>
      </c>
      <c r="C1081">
        <v>4387536</v>
      </c>
      <c r="D1081">
        <v>10296</v>
      </c>
    </row>
    <row r="1082" spans="1:4" x14ac:dyDescent="0.25">
      <c r="A1082" t="str">
        <f>T("   160100")</f>
        <v xml:space="preserve">   160100</v>
      </c>
      <c r="B1082" t="str">
        <f>T("   Saucisses, saucissons et produits simil., de viande, d'abats ou de sang; préparations alimentaires à base de ces produits")</f>
        <v xml:space="preserve">   Saucisses, saucissons et produits simil., de viande, d'abats ou de sang; préparations alimentaires à base de ces produits</v>
      </c>
      <c r="C1082">
        <v>374624460</v>
      </c>
      <c r="D1082">
        <v>503919.48</v>
      </c>
    </row>
    <row r="1083" spans="1:4" x14ac:dyDescent="0.25">
      <c r="A1083" t="str">
        <f>T("   160232")</f>
        <v xml:space="preserve">   160232</v>
      </c>
      <c r="B1083" t="s">
        <v>40</v>
      </c>
      <c r="C1083">
        <v>996034944</v>
      </c>
      <c r="D1083">
        <v>1326100</v>
      </c>
    </row>
    <row r="1084" spans="1:4" x14ac:dyDescent="0.25">
      <c r="A1084" t="str">
        <f>T("   170191")</f>
        <v xml:space="preserve">   170191</v>
      </c>
      <c r="B1084" t="str">
        <f>T("   Sucres de canne ou de betterave, à l'état solide, additionnés d'aromatisants ou de colorants")</f>
        <v xml:space="preserve">   Sucres de canne ou de betterave, à l'état solide, additionnés d'aromatisants ou de colorants</v>
      </c>
      <c r="C1084">
        <v>1147129357.9549999</v>
      </c>
      <c r="D1084">
        <v>7288238</v>
      </c>
    </row>
    <row r="1085" spans="1:4" x14ac:dyDescent="0.25">
      <c r="A1085" t="str">
        <f>T("   170199")</f>
        <v xml:space="preserve">   170199</v>
      </c>
      <c r="B108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85">
        <v>6345147494.2040005</v>
      </c>
      <c r="D1085">
        <v>25750861</v>
      </c>
    </row>
    <row r="1086" spans="1:4" x14ac:dyDescent="0.25">
      <c r="A1086" t="str">
        <f>T("   170219")</f>
        <v xml:space="preserve">   170219</v>
      </c>
      <c r="B1086"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1086">
        <v>29208600</v>
      </c>
      <c r="D1086">
        <v>243405</v>
      </c>
    </row>
    <row r="1087" spans="1:4" x14ac:dyDescent="0.25">
      <c r="A1087" t="str">
        <f>T("   170290")</f>
        <v xml:space="preserve">   170290</v>
      </c>
      <c r="B1087" t="s">
        <v>46</v>
      </c>
      <c r="C1087">
        <v>19440000</v>
      </c>
      <c r="D1087">
        <v>162000</v>
      </c>
    </row>
    <row r="1088" spans="1:4" x14ac:dyDescent="0.25">
      <c r="A1088" t="str">
        <f>T("   170490")</f>
        <v xml:space="preserve">   170490</v>
      </c>
      <c r="B1088" t="str">
        <f>T("   Sucreries sans cacao, y.c. le chocolat blanc (à l'excl. des gommes à mâcher)")</f>
        <v xml:space="preserve">   Sucreries sans cacao, y.c. le chocolat blanc (à l'excl. des gommes à mâcher)</v>
      </c>
      <c r="C1088">
        <v>6556320</v>
      </c>
      <c r="D1088">
        <v>48266</v>
      </c>
    </row>
    <row r="1089" spans="1:4" x14ac:dyDescent="0.25">
      <c r="A1089" t="str">
        <f>T("   190110")</f>
        <v xml:space="preserve">   190110</v>
      </c>
      <c r="B1089" t="s">
        <v>48</v>
      </c>
      <c r="C1089">
        <v>85438320</v>
      </c>
      <c r="D1089">
        <v>34123.35</v>
      </c>
    </row>
    <row r="1090" spans="1:4" x14ac:dyDescent="0.25">
      <c r="A1090" t="str">
        <f>T("   190190")</f>
        <v xml:space="preserve">   190190</v>
      </c>
      <c r="B1090" t="s">
        <v>50</v>
      </c>
      <c r="C1090">
        <v>20529489</v>
      </c>
      <c r="D1090">
        <v>94895</v>
      </c>
    </row>
    <row r="1091" spans="1:4" x14ac:dyDescent="0.25">
      <c r="A1091" t="str">
        <f>T("   200290")</f>
        <v xml:space="preserve">   200290</v>
      </c>
      <c r="B109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91">
        <v>50267757</v>
      </c>
      <c r="D1091">
        <v>270000</v>
      </c>
    </row>
    <row r="1092" spans="1:4" x14ac:dyDescent="0.25">
      <c r="A1092" t="str">
        <f>T("   210690")</f>
        <v xml:space="preserve">   210690</v>
      </c>
      <c r="B1092" t="str">
        <f>T("   Préparations alimentaires, n.d.a.")</f>
        <v xml:space="preserve">   Préparations alimentaires, n.d.a.</v>
      </c>
      <c r="C1092">
        <v>6000000</v>
      </c>
      <c r="D1092">
        <v>75000</v>
      </c>
    </row>
    <row r="1093" spans="1:4" x14ac:dyDescent="0.25">
      <c r="A1093" t="str">
        <f>T("   230990")</f>
        <v xml:space="preserve">   230990</v>
      </c>
      <c r="B1093"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1093">
        <v>7653917</v>
      </c>
      <c r="D1093">
        <v>25670</v>
      </c>
    </row>
    <row r="1094" spans="1:4" x14ac:dyDescent="0.25">
      <c r="A1094" t="str">
        <f>T("   250100")</f>
        <v xml:space="preserve">   250100</v>
      </c>
      <c r="B1094" t="s">
        <v>63</v>
      </c>
      <c r="C1094">
        <v>2556800</v>
      </c>
      <c r="D1094">
        <v>79900</v>
      </c>
    </row>
    <row r="1095" spans="1:4" x14ac:dyDescent="0.25">
      <c r="A1095" t="str">
        <f>T("   281511")</f>
        <v xml:space="preserve">   281511</v>
      </c>
      <c r="B1095" t="str">
        <f>T("   Hydroxyde de sodium [soude caustique], solide")</f>
        <v xml:space="preserve">   Hydroxyde de sodium [soude caustique], solide</v>
      </c>
      <c r="C1095">
        <v>17567376</v>
      </c>
      <c r="D1095">
        <v>440615</v>
      </c>
    </row>
    <row r="1096" spans="1:4" x14ac:dyDescent="0.25">
      <c r="A1096" t="str">
        <f>T("   292242")</f>
        <v xml:space="preserve">   292242</v>
      </c>
      <c r="B1096" t="str">
        <f>T("   Acide glutamique et ses sels")</f>
        <v xml:space="preserve">   Acide glutamique et ses sels</v>
      </c>
      <c r="C1096">
        <v>8503500</v>
      </c>
      <c r="D1096">
        <v>55000</v>
      </c>
    </row>
    <row r="1097" spans="1:4" x14ac:dyDescent="0.25">
      <c r="A1097" t="str">
        <f>T("   300490")</f>
        <v xml:space="preserve">   300490</v>
      </c>
      <c r="B1097" t="s">
        <v>84</v>
      </c>
      <c r="C1097">
        <v>326851453</v>
      </c>
      <c r="D1097">
        <v>53299</v>
      </c>
    </row>
    <row r="1098" spans="1:4" x14ac:dyDescent="0.25">
      <c r="A1098" t="str">
        <f>T("   321410")</f>
        <v xml:space="preserve">   321410</v>
      </c>
      <c r="B1098" t="str">
        <f>T("   Mastic de vitrier, ciments de résine et autres mastics; enduits utilisés en peinture")</f>
        <v xml:space="preserve">   Mastic de vitrier, ciments de résine et autres mastics; enduits utilisés en peinture</v>
      </c>
      <c r="C1098">
        <v>5202510</v>
      </c>
      <c r="D1098">
        <v>17566</v>
      </c>
    </row>
    <row r="1099" spans="1:4" x14ac:dyDescent="0.25">
      <c r="A1099" t="str">
        <f>T("   330499")</f>
        <v xml:space="preserve">   330499</v>
      </c>
      <c r="B1099" t="s">
        <v>106</v>
      </c>
      <c r="C1099">
        <v>20000000</v>
      </c>
      <c r="D1099">
        <v>74938</v>
      </c>
    </row>
    <row r="1100" spans="1:4" x14ac:dyDescent="0.25">
      <c r="A1100" t="str">
        <f>T("   391690")</f>
        <v xml:space="preserve">   391690</v>
      </c>
      <c r="B1100" t="s">
        <v>136</v>
      </c>
      <c r="C1100">
        <v>108430</v>
      </c>
      <c r="D1100">
        <v>47</v>
      </c>
    </row>
    <row r="1101" spans="1:4" x14ac:dyDescent="0.25">
      <c r="A1101" t="str">
        <f>T("   401110")</f>
        <v xml:space="preserve">   401110</v>
      </c>
      <c r="B110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01">
        <v>14967695</v>
      </c>
      <c r="D1101">
        <v>4627</v>
      </c>
    </row>
    <row r="1102" spans="1:4" x14ac:dyDescent="0.25">
      <c r="A1102" t="str">
        <f>T("   441213")</f>
        <v xml:space="preserve">   441213</v>
      </c>
      <c r="B1102" t="s">
        <v>192</v>
      </c>
      <c r="C1102">
        <v>5000000</v>
      </c>
      <c r="D1102">
        <v>80000</v>
      </c>
    </row>
    <row r="1103" spans="1:4" x14ac:dyDescent="0.25">
      <c r="A1103" t="str">
        <f>T("   441239")</f>
        <v xml:space="preserve">   441239</v>
      </c>
      <c r="B1103" t="s">
        <v>197</v>
      </c>
      <c r="C1103">
        <v>8210000</v>
      </c>
      <c r="D1103">
        <v>250000</v>
      </c>
    </row>
    <row r="1104" spans="1:4" x14ac:dyDescent="0.25">
      <c r="A1104" t="str">
        <f>T("   441299")</f>
        <v xml:space="preserve">   441299</v>
      </c>
      <c r="B1104" t="s">
        <v>198</v>
      </c>
      <c r="C1104">
        <v>15075295</v>
      </c>
      <c r="D1104">
        <v>93408</v>
      </c>
    </row>
    <row r="1105" spans="1:4" x14ac:dyDescent="0.25">
      <c r="A1105" t="str">
        <f>T("   441820")</f>
        <v xml:space="preserve">   441820</v>
      </c>
      <c r="B1105" t="str">
        <f>T("   Portes et leurs cadres, chambranles et seuils, en bois")</f>
        <v xml:space="preserve">   Portes et leurs cadres, chambranles et seuils, en bois</v>
      </c>
      <c r="C1105">
        <v>11150012</v>
      </c>
      <c r="D1105">
        <v>27155</v>
      </c>
    </row>
    <row r="1106" spans="1:4" x14ac:dyDescent="0.25">
      <c r="A1106" t="str">
        <f>T("   480421")</f>
        <v xml:space="preserve">   480421</v>
      </c>
      <c r="B1106"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1106">
        <v>75647209</v>
      </c>
      <c r="D1106">
        <v>153432</v>
      </c>
    </row>
    <row r="1107" spans="1:4" x14ac:dyDescent="0.25">
      <c r="A1107" t="str">
        <f>T("   610910")</f>
        <v xml:space="preserve">   610910</v>
      </c>
      <c r="B1107" t="str">
        <f>T("   T-shirts et maillots de corps, en bonneterie, de coton,")</f>
        <v xml:space="preserve">   T-shirts et maillots de corps, en bonneterie, de coton,</v>
      </c>
      <c r="C1107">
        <v>26643</v>
      </c>
      <c r="D1107">
        <v>27.03</v>
      </c>
    </row>
    <row r="1108" spans="1:4" x14ac:dyDescent="0.25">
      <c r="A1108" t="str">
        <f>T("   611490")</f>
        <v xml:space="preserve">   611490</v>
      </c>
      <c r="B1108"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108">
        <v>75000</v>
      </c>
      <c r="D1108">
        <v>61</v>
      </c>
    </row>
    <row r="1109" spans="1:4" x14ac:dyDescent="0.25">
      <c r="A1109" t="str">
        <f>T("   620590")</f>
        <v xml:space="preserve">   620590</v>
      </c>
      <c r="B110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09">
        <v>1300000</v>
      </c>
      <c r="D1109">
        <v>730</v>
      </c>
    </row>
    <row r="1110" spans="1:4" x14ac:dyDescent="0.25">
      <c r="A1110" t="str">
        <f>T("   630510")</f>
        <v xml:space="preserve">   630510</v>
      </c>
      <c r="B1110" t="str">
        <f>T("   Sacs et sachets d'emballage de jute ou d'autres fibres textiles libériennes du n° 5303")</f>
        <v xml:space="preserve">   Sacs et sachets d'emballage de jute ou d'autres fibres textiles libériennes du n° 5303</v>
      </c>
      <c r="C1110">
        <v>111514</v>
      </c>
      <c r="D1110">
        <v>208</v>
      </c>
    </row>
    <row r="1111" spans="1:4" x14ac:dyDescent="0.25">
      <c r="A1111" t="str">
        <f>T("   690890")</f>
        <v xml:space="preserve">   690890</v>
      </c>
      <c r="B1111" t="s">
        <v>336</v>
      </c>
      <c r="C1111">
        <v>28620000</v>
      </c>
      <c r="D1111">
        <v>137560</v>
      </c>
    </row>
    <row r="1112" spans="1:4" x14ac:dyDescent="0.25">
      <c r="A1112" t="str">
        <f>T("   691110")</f>
        <v xml:space="preserve">   691110</v>
      </c>
      <c r="B1112" t="s">
        <v>340</v>
      </c>
      <c r="C1112">
        <v>3937809</v>
      </c>
      <c r="D1112">
        <v>12229.88</v>
      </c>
    </row>
    <row r="1113" spans="1:4" x14ac:dyDescent="0.25">
      <c r="A1113" t="str">
        <f>T("   721041")</f>
        <v xml:space="preserve">   721041</v>
      </c>
      <c r="B1113"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113">
        <v>29070000</v>
      </c>
      <c r="D1113">
        <v>120000</v>
      </c>
    </row>
    <row r="1114" spans="1:4" x14ac:dyDescent="0.25">
      <c r="A1114" t="str">
        <f>T("   721391")</f>
        <v xml:space="preserve">   721391</v>
      </c>
      <c r="B1114"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114">
        <v>1553274260</v>
      </c>
      <c r="D1114">
        <v>4926949</v>
      </c>
    </row>
    <row r="1115" spans="1:4" x14ac:dyDescent="0.25">
      <c r="A1115" t="str">
        <f>T("   721420")</f>
        <v xml:space="preserve">   721420</v>
      </c>
      <c r="B111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115">
        <v>39531680</v>
      </c>
      <c r="D1115">
        <v>107829</v>
      </c>
    </row>
    <row r="1116" spans="1:4" x14ac:dyDescent="0.25">
      <c r="A1116" t="str">
        <f>T("   731700")</f>
        <v xml:space="preserve">   731700</v>
      </c>
      <c r="B1116"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116">
        <v>10468881</v>
      </c>
      <c r="D1116">
        <v>120120</v>
      </c>
    </row>
    <row r="1117" spans="1:4" x14ac:dyDescent="0.25">
      <c r="A1117" t="str">
        <f>T("   731829")</f>
        <v xml:space="preserve">   731829</v>
      </c>
      <c r="B1117" t="str">
        <f>T("   Articles de boulonnerie et de visserie non filetés, en fonte, fer ou acier, n.d.a.")</f>
        <v xml:space="preserve">   Articles de boulonnerie et de visserie non filetés, en fonte, fer ou acier, n.d.a.</v>
      </c>
      <c r="C1117">
        <v>8500119</v>
      </c>
      <c r="D1117">
        <v>7509</v>
      </c>
    </row>
    <row r="1118" spans="1:4" x14ac:dyDescent="0.25">
      <c r="A1118" t="str">
        <f>T("   732111")</f>
        <v xml:space="preserve">   732111</v>
      </c>
      <c r="B1118" t="s">
        <v>382</v>
      </c>
      <c r="C1118">
        <v>5035217</v>
      </c>
      <c r="D1118">
        <v>1970</v>
      </c>
    </row>
    <row r="1119" spans="1:4" x14ac:dyDescent="0.25">
      <c r="A1119" t="str">
        <f>T("   732190")</f>
        <v xml:space="preserve">   732190</v>
      </c>
      <c r="B1119" t="str">
        <f>T("   Parties des appareils ménagers chauffants non-électriques du n° 7321, n.d.a.")</f>
        <v xml:space="preserve">   Parties des appareils ménagers chauffants non-électriques du n° 7321, n.d.a.</v>
      </c>
      <c r="C1119">
        <v>269356</v>
      </c>
      <c r="D1119">
        <v>17</v>
      </c>
    </row>
    <row r="1120" spans="1:4" x14ac:dyDescent="0.25">
      <c r="A1120" t="str">
        <f>T("   732394")</f>
        <v xml:space="preserve">   732394</v>
      </c>
      <c r="B1120" t="s">
        <v>389</v>
      </c>
      <c r="C1120">
        <v>400000</v>
      </c>
      <c r="D1120">
        <v>310</v>
      </c>
    </row>
    <row r="1121" spans="1:4" x14ac:dyDescent="0.25">
      <c r="A1121" t="str">
        <f>T("   732399")</f>
        <v xml:space="preserve">   732399</v>
      </c>
      <c r="B1121" t="s">
        <v>390</v>
      </c>
      <c r="C1121">
        <v>1000000</v>
      </c>
      <c r="D1121">
        <v>700</v>
      </c>
    </row>
    <row r="1122" spans="1:4" x14ac:dyDescent="0.25">
      <c r="A1122" t="str">
        <f>T("   780199")</f>
        <v xml:space="preserve">   780199</v>
      </c>
      <c r="B1122" t="str">
        <f>T("   Plomb sous forme brute (sauf plomb affiné et plomb contenant de l'antimoine comme autre élément prédominant en poids)")</f>
        <v xml:space="preserve">   Plomb sous forme brute (sauf plomb affiné et plomb contenant de l'antimoine comme autre élément prédominant en poids)</v>
      </c>
      <c r="C1122">
        <v>1228233</v>
      </c>
      <c r="D1122">
        <v>1088</v>
      </c>
    </row>
    <row r="1123" spans="1:4" x14ac:dyDescent="0.25">
      <c r="A1123" t="str">
        <f>T("   850153")</f>
        <v xml:space="preserve">   850153</v>
      </c>
      <c r="B1123" t="str">
        <f>T("   Moteurs à courant alternatif, polyphasés, puissance &gt; 75 kW")</f>
        <v xml:space="preserve">   Moteurs à courant alternatif, polyphasés, puissance &gt; 75 kW</v>
      </c>
      <c r="C1123">
        <v>207063614</v>
      </c>
      <c r="D1123">
        <v>92080</v>
      </c>
    </row>
    <row r="1124" spans="1:4" x14ac:dyDescent="0.25">
      <c r="A1124" t="str">
        <f>T("   850220")</f>
        <v xml:space="preserve">   850220</v>
      </c>
      <c r="B1124" t="s">
        <v>472</v>
      </c>
      <c r="C1124">
        <v>200000</v>
      </c>
      <c r="D1124">
        <v>228</v>
      </c>
    </row>
    <row r="1125" spans="1:4" x14ac:dyDescent="0.25">
      <c r="A1125" t="str">
        <f>T("   850610")</f>
        <v xml:space="preserve">   850610</v>
      </c>
      <c r="B1125" t="str">
        <f>T("   Piles et batteries de piles électriques, au bioxyde de manganèse (sauf hors d'usage)")</f>
        <v xml:space="preserve">   Piles et batteries de piles électriques, au bioxyde de manganèse (sauf hors d'usage)</v>
      </c>
      <c r="C1125">
        <v>19302186</v>
      </c>
      <c r="D1125">
        <v>100000</v>
      </c>
    </row>
    <row r="1126" spans="1:4" x14ac:dyDescent="0.25">
      <c r="A1126" t="str">
        <f>T("   870322")</f>
        <v xml:space="preserve">   870322</v>
      </c>
      <c r="B1126" t="s">
        <v>506</v>
      </c>
      <c r="C1126">
        <v>5714066</v>
      </c>
      <c r="D1126">
        <v>4944</v>
      </c>
    </row>
    <row r="1127" spans="1:4" x14ac:dyDescent="0.25">
      <c r="A1127" t="str">
        <f>T("   870332")</f>
        <v xml:space="preserve">   870332</v>
      </c>
      <c r="B1127" t="s">
        <v>510</v>
      </c>
      <c r="C1127">
        <v>5290194</v>
      </c>
      <c r="D1127">
        <v>1082</v>
      </c>
    </row>
    <row r="1128" spans="1:4" x14ac:dyDescent="0.25">
      <c r="A1128" t="str">
        <f>T("   870421")</f>
        <v xml:space="preserve">   870421</v>
      </c>
      <c r="B1128" t="s">
        <v>512</v>
      </c>
      <c r="C1128">
        <v>3953113</v>
      </c>
      <c r="D1128">
        <v>3570</v>
      </c>
    </row>
    <row r="1129" spans="1:4" x14ac:dyDescent="0.25">
      <c r="A1129" t="str">
        <f>T("   871200")</f>
        <v xml:space="preserve">   871200</v>
      </c>
      <c r="B1129" t="str">
        <f>T("   BICYCLETTES ET AUTRES CYCLES, -Y.C. LES TRIPORTEURS-, SANS MOTEUR")</f>
        <v xml:space="preserve">   BICYCLETTES ET AUTRES CYCLES, -Y.C. LES TRIPORTEURS-, SANS MOTEUR</v>
      </c>
      <c r="C1129">
        <v>100000</v>
      </c>
      <c r="D1129">
        <v>62</v>
      </c>
    </row>
    <row r="1130" spans="1:4" x14ac:dyDescent="0.25">
      <c r="A1130" t="str">
        <f>T("   902780")</f>
        <v xml:space="preserve">   902780</v>
      </c>
      <c r="B113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130">
        <v>26393956</v>
      </c>
      <c r="D1130">
        <v>24</v>
      </c>
    </row>
    <row r="1131" spans="1:4" x14ac:dyDescent="0.25">
      <c r="A1131" t="str">
        <f>T("   940350")</f>
        <v xml:space="preserve">   940350</v>
      </c>
      <c r="B1131" t="str">
        <f>T("   Meubles pour chambres à coucher, en bois (sauf sièges)")</f>
        <v xml:space="preserve">   Meubles pour chambres à coucher, en bois (sauf sièges)</v>
      </c>
      <c r="C1131">
        <v>1800000</v>
      </c>
      <c r="D1131">
        <v>1400</v>
      </c>
    </row>
    <row r="1132" spans="1:4" x14ac:dyDescent="0.25">
      <c r="A1132" t="str">
        <f>T("   940360")</f>
        <v xml:space="preserve">   940360</v>
      </c>
      <c r="B1132" t="str">
        <f>T("   Meubles en bois (autres que pour bureaux, cuisines ou chambres à coucher et autres que sièges)")</f>
        <v xml:space="preserve">   Meubles en bois (autres que pour bureaux, cuisines ou chambres à coucher et autres que sièges)</v>
      </c>
      <c r="C1132">
        <v>9146189</v>
      </c>
      <c r="D1132">
        <v>25758</v>
      </c>
    </row>
    <row r="1133" spans="1:4" x14ac:dyDescent="0.25">
      <c r="A1133" t="str">
        <f>T("   940490")</f>
        <v xml:space="preserve">   940490</v>
      </c>
      <c r="B1133" t="s">
        <v>537</v>
      </c>
      <c r="C1133">
        <v>100000</v>
      </c>
      <c r="D1133">
        <v>45</v>
      </c>
    </row>
    <row r="1134" spans="1:4" x14ac:dyDescent="0.25">
      <c r="A1134" t="str">
        <f>T("BY")</f>
        <v>BY</v>
      </c>
      <c r="B1134" t="str">
        <f>T("Bélarus")</f>
        <v>Bélarus</v>
      </c>
    </row>
    <row r="1135" spans="1:4" x14ac:dyDescent="0.25">
      <c r="A1135" t="str">
        <f>T("   ZZ_Total_Produit_SH6")</f>
        <v xml:space="preserve">   ZZ_Total_Produit_SH6</v>
      </c>
      <c r="B1135" t="str">
        <f>T("   ZZ_Total_Produit_SH6")</f>
        <v xml:space="preserve">   ZZ_Total_Produit_SH6</v>
      </c>
      <c r="C1135">
        <v>35102376</v>
      </c>
      <c r="D1135">
        <v>45355</v>
      </c>
    </row>
    <row r="1136" spans="1:4" x14ac:dyDescent="0.25">
      <c r="A1136" t="str">
        <f>T("   020727")</f>
        <v xml:space="preserve">   020727</v>
      </c>
      <c r="B1136" t="str">
        <f>T("   Morceaux et abats comestibles de dindes et dindons [des espèces domestiques], congelés")</f>
        <v xml:space="preserve">   Morceaux et abats comestibles de dindes et dindons [des espèces domestiques], congelés</v>
      </c>
      <c r="C1136">
        <v>15550000</v>
      </c>
      <c r="D1136">
        <v>25000</v>
      </c>
    </row>
    <row r="1137" spans="1:4" x14ac:dyDescent="0.25">
      <c r="A1137" t="str">
        <f>T("   490199")</f>
        <v xml:space="preserve">   490199</v>
      </c>
      <c r="B113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37">
        <v>19552376</v>
      </c>
      <c r="D1137">
        <v>20355</v>
      </c>
    </row>
    <row r="1138" spans="1:4" x14ac:dyDescent="0.25">
      <c r="A1138" t="str">
        <f>T("BZ")</f>
        <v>BZ</v>
      </c>
      <c r="B1138" t="str">
        <f>T("Belize")</f>
        <v>Belize</v>
      </c>
    </row>
    <row r="1139" spans="1:4" x14ac:dyDescent="0.25">
      <c r="A1139" t="str">
        <f>T("   ZZ_Total_Produit_SH6")</f>
        <v xml:space="preserve">   ZZ_Total_Produit_SH6</v>
      </c>
      <c r="B1139" t="str">
        <f>T("   ZZ_Total_Produit_SH6")</f>
        <v xml:space="preserve">   ZZ_Total_Produit_SH6</v>
      </c>
      <c r="C1139">
        <v>9821056</v>
      </c>
      <c r="D1139">
        <v>12900</v>
      </c>
    </row>
    <row r="1140" spans="1:4" x14ac:dyDescent="0.25">
      <c r="A1140" t="str">
        <f>T("   842940")</f>
        <v xml:space="preserve">   842940</v>
      </c>
      <c r="B1140" t="str">
        <f>T("   Rouleaux compresseurs et autres compacteuses, autopropulsés")</f>
        <v xml:space="preserve">   Rouleaux compresseurs et autres compacteuses, autopropulsés</v>
      </c>
      <c r="C1140">
        <v>9821056</v>
      </c>
      <c r="D1140">
        <v>12900</v>
      </c>
    </row>
    <row r="1141" spans="1:4" x14ac:dyDescent="0.25">
      <c r="A1141" t="str">
        <f>T("CA")</f>
        <v>CA</v>
      </c>
      <c r="B1141" t="str">
        <f>T("Canada")</f>
        <v>Canada</v>
      </c>
    </row>
    <row r="1142" spans="1:4" x14ac:dyDescent="0.25">
      <c r="A1142" t="str">
        <f>T("   ZZ_Total_Produit_SH6")</f>
        <v xml:space="preserve">   ZZ_Total_Produit_SH6</v>
      </c>
      <c r="B1142" t="str">
        <f>T("   ZZ_Total_Produit_SH6")</f>
        <v xml:space="preserve">   ZZ_Total_Produit_SH6</v>
      </c>
      <c r="C1142">
        <v>7090046255</v>
      </c>
      <c r="D1142">
        <v>10005923.550000001</v>
      </c>
    </row>
    <row r="1143" spans="1:4" x14ac:dyDescent="0.25">
      <c r="A1143" t="str">
        <f>T("   020711")</f>
        <v xml:space="preserve">   020711</v>
      </c>
      <c r="B1143" t="str">
        <f>T("   COQS ET POULES [DES ESPÈCES DOMESTIQUES], NON-DÉCOUPÉS EN MORCEAUX, FRAIS OU RÉFRIGÉRÉS")</f>
        <v xml:space="preserve">   COQS ET POULES [DES ESPÈCES DOMESTIQUES], NON-DÉCOUPÉS EN MORCEAUX, FRAIS OU RÉFRIGÉRÉS</v>
      </c>
      <c r="C1143">
        <v>93300000</v>
      </c>
      <c r="D1143">
        <v>162000</v>
      </c>
    </row>
    <row r="1144" spans="1:4" x14ac:dyDescent="0.25">
      <c r="A1144" t="str">
        <f>T("   020712")</f>
        <v xml:space="preserve">   020712</v>
      </c>
      <c r="B1144" t="str">
        <f>T("   COQS ET POULES [DES ESPÈCES DOMESTIQUES], NON-DÉCOUPÉS EN MORCEAUX, CONGELÉS")</f>
        <v xml:space="preserve">   COQS ET POULES [DES ESPÈCES DOMESTIQUES], NON-DÉCOUPÉS EN MORCEAUX, CONGELÉS</v>
      </c>
      <c r="C1144">
        <v>46650000</v>
      </c>
      <c r="D1144">
        <v>78000</v>
      </c>
    </row>
    <row r="1145" spans="1:4" x14ac:dyDescent="0.25">
      <c r="A1145" t="str">
        <f>T("   020714")</f>
        <v xml:space="preserve">   020714</v>
      </c>
      <c r="B1145" t="str">
        <f>T("   Morceaux et abats comestibles de coqs et de poules [des espèces domestiques], congelés")</f>
        <v xml:space="preserve">   Morceaux et abats comestibles de coqs et de poules [des espèces domestiques], congelés</v>
      </c>
      <c r="C1145">
        <v>3612147248</v>
      </c>
      <c r="D1145">
        <v>5903573</v>
      </c>
    </row>
    <row r="1146" spans="1:4" x14ac:dyDescent="0.25">
      <c r="A1146" t="str">
        <f>T("   020727")</f>
        <v xml:space="preserve">   020727</v>
      </c>
      <c r="B1146" t="str">
        <f>T("   Morceaux et abats comestibles de dindes et dindons [des espèces domestiques], congelés")</f>
        <v xml:space="preserve">   Morceaux et abats comestibles de dindes et dindons [des espèces domestiques], congelés</v>
      </c>
      <c r="C1146">
        <v>1380609289</v>
      </c>
      <c r="D1146">
        <v>2233682</v>
      </c>
    </row>
    <row r="1147" spans="1:4" x14ac:dyDescent="0.25">
      <c r="A1147" t="str">
        <f>T("   050400")</f>
        <v xml:space="preserve">   050400</v>
      </c>
      <c r="B1147"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147">
        <v>301560331</v>
      </c>
      <c r="D1147">
        <v>247768</v>
      </c>
    </row>
    <row r="1148" spans="1:4" x14ac:dyDescent="0.25">
      <c r="A1148" t="str">
        <f>T("   170490")</f>
        <v xml:space="preserve">   170490</v>
      </c>
      <c r="B1148" t="str">
        <f>T("   Sucreries sans cacao, y.c. le chocolat blanc (à l'excl. des gommes à mâcher)")</f>
        <v xml:space="preserve">   Sucreries sans cacao, y.c. le chocolat blanc (à l'excl. des gommes à mâcher)</v>
      </c>
      <c r="C1148">
        <v>5457587</v>
      </c>
      <c r="D1148">
        <v>17075</v>
      </c>
    </row>
    <row r="1149" spans="1:4" x14ac:dyDescent="0.25">
      <c r="A1149" t="str">
        <f>T("   200390")</f>
        <v xml:space="preserve">   200390</v>
      </c>
      <c r="B1149"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1149">
        <v>571221</v>
      </c>
      <c r="D1149">
        <v>1172</v>
      </c>
    </row>
    <row r="1150" spans="1:4" x14ac:dyDescent="0.25">
      <c r="A1150" t="str">
        <f>T("   200919")</f>
        <v xml:space="preserve">   200919</v>
      </c>
      <c r="B1150"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150">
        <v>319713</v>
      </c>
      <c r="D1150">
        <v>656</v>
      </c>
    </row>
    <row r="1151" spans="1:4" x14ac:dyDescent="0.25">
      <c r="A1151" t="str">
        <f>T("   210390")</f>
        <v xml:space="preserve">   210390</v>
      </c>
      <c r="B115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151">
        <v>22690440</v>
      </c>
      <c r="D1151">
        <v>92865</v>
      </c>
    </row>
    <row r="1152" spans="1:4" x14ac:dyDescent="0.25">
      <c r="A1152" t="str">
        <f>T("   250840")</f>
        <v xml:space="preserve">   250840</v>
      </c>
      <c r="B1152" t="str">
        <f>T("   Argiles (à l'excl. des argiles réfractaires ou expansées ainsi que du kaolin et des autres argiles kaoliniques)")</f>
        <v xml:space="preserve">   Argiles (à l'excl. des argiles réfractaires ou expansées ainsi que du kaolin et des autres argiles kaoliniques)</v>
      </c>
      <c r="C1152">
        <v>5227450</v>
      </c>
      <c r="D1152">
        <v>840</v>
      </c>
    </row>
    <row r="1153" spans="1:4" x14ac:dyDescent="0.25">
      <c r="A1153" t="str">
        <f>T("   300290")</f>
        <v xml:space="preserve">   300290</v>
      </c>
      <c r="B1153"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1153">
        <v>450973</v>
      </c>
      <c r="D1153">
        <v>15</v>
      </c>
    </row>
    <row r="1154" spans="1:4" x14ac:dyDescent="0.25">
      <c r="A1154" t="str">
        <f>T("   300490")</f>
        <v xml:space="preserve">   300490</v>
      </c>
      <c r="B1154" t="s">
        <v>84</v>
      </c>
      <c r="C1154">
        <v>2168724</v>
      </c>
      <c r="D1154">
        <v>4448</v>
      </c>
    </row>
    <row r="1155" spans="1:4" x14ac:dyDescent="0.25">
      <c r="A1155" t="str">
        <f>T("   300610")</f>
        <v xml:space="preserve">   300610</v>
      </c>
      <c r="B1155" t="s">
        <v>86</v>
      </c>
      <c r="C1155">
        <v>1069483</v>
      </c>
      <c r="D1155">
        <v>405</v>
      </c>
    </row>
    <row r="1156" spans="1:4" x14ac:dyDescent="0.25">
      <c r="A1156" t="str">
        <f>T("   320890")</f>
        <v xml:space="preserve">   320890</v>
      </c>
      <c r="B1156" t="s">
        <v>102</v>
      </c>
      <c r="C1156">
        <v>262790</v>
      </c>
      <c r="D1156">
        <v>8</v>
      </c>
    </row>
    <row r="1157" spans="1:4" x14ac:dyDescent="0.25">
      <c r="A1157" t="str">
        <f>T("   330119")</f>
        <v xml:space="preserve">   330119</v>
      </c>
      <c r="B1157"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1157">
        <v>95000</v>
      </c>
      <c r="D1157">
        <v>85</v>
      </c>
    </row>
    <row r="1158" spans="1:4" x14ac:dyDescent="0.25">
      <c r="A1158" t="str">
        <f>T("   340290")</f>
        <v xml:space="preserve">   340290</v>
      </c>
      <c r="B1158" t="s">
        <v>110</v>
      </c>
      <c r="C1158">
        <v>758787</v>
      </c>
      <c r="D1158">
        <v>1557</v>
      </c>
    </row>
    <row r="1159" spans="1:4" x14ac:dyDescent="0.25">
      <c r="A1159" t="str">
        <f>T("   382200")</f>
        <v xml:space="preserve">   382200</v>
      </c>
      <c r="B1159" t="s">
        <v>133</v>
      </c>
      <c r="C1159">
        <v>1671736</v>
      </c>
      <c r="D1159">
        <v>47</v>
      </c>
    </row>
    <row r="1160" spans="1:4" x14ac:dyDescent="0.25">
      <c r="A1160" t="str">
        <f>T("   382479")</f>
        <v xml:space="preserve">   382479</v>
      </c>
      <c r="B1160"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1160">
        <v>60607</v>
      </c>
      <c r="D1160">
        <v>1</v>
      </c>
    </row>
    <row r="1161" spans="1:4" x14ac:dyDescent="0.25">
      <c r="A1161" t="str">
        <f>T("   382490")</f>
        <v xml:space="preserve">   382490</v>
      </c>
      <c r="B116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161">
        <v>35948</v>
      </c>
      <c r="D1161">
        <v>1</v>
      </c>
    </row>
    <row r="1162" spans="1:4" x14ac:dyDescent="0.25">
      <c r="A1162" t="str">
        <f>T("   390710")</f>
        <v xml:space="preserve">   390710</v>
      </c>
      <c r="B1162" t="str">
        <f>T("   Polyacétals, sous formes primaires")</f>
        <v xml:space="preserve">   Polyacétals, sous formes primaires</v>
      </c>
      <c r="C1162">
        <v>14002406</v>
      </c>
      <c r="D1162">
        <v>152</v>
      </c>
    </row>
    <row r="1163" spans="1:4" x14ac:dyDescent="0.25">
      <c r="A1163" t="str">
        <f>T("   392410")</f>
        <v xml:space="preserve">   392410</v>
      </c>
      <c r="B1163" t="str">
        <f>T("   Vaisselle et autres articles pour le service de la table ou de la cuisine, en matières plastiques")</f>
        <v xml:space="preserve">   Vaisselle et autres articles pour le service de la table ou de la cuisine, en matières plastiques</v>
      </c>
      <c r="C1163">
        <v>1529830</v>
      </c>
      <c r="D1163">
        <v>1950</v>
      </c>
    </row>
    <row r="1164" spans="1:4" x14ac:dyDescent="0.25">
      <c r="A1164" t="str">
        <f>T("   392490")</f>
        <v xml:space="preserve">   392490</v>
      </c>
      <c r="B1164" t="s">
        <v>157</v>
      </c>
      <c r="C1164">
        <v>575414</v>
      </c>
      <c r="D1164">
        <v>736</v>
      </c>
    </row>
    <row r="1165" spans="1:4" x14ac:dyDescent="0.25">
      <c r="A1165" t="str">
        <f>T("   401110")</f>
        <v xml:space="preserve">   401110</v>
      </c>
      <c r="B116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65">
        <v>800642</v>
      </c>
      <c r="D1165">
        <v>1600</v>
      </c>
    </row>
    <row r="1166" spans="1:4" x14ac:dyDescent="0.25">
      <c r="A1166" t="str">
        <f>T("   401220")</f>
        <v xml:space="preserve">   401220</v>
      </c>
      <c r="B1166" t="str">
        <f>T("   Pneumatiques usagés, en caoutchouc")</f>
        <v xml:space="preserve">   Pneumatiques usagés, en caoutchouc</v>
      </c>
      <c r="C1166">
        <v>14372506</v>
      </c>
      <c r="D1166">
        <v>41016</v>
      </c>
    </row>
    <row r="1167" spans="1:4" x14ac:dyDescent="0.25">
      <c r="A1167" t="str">
        <f>T("   401390")</f>
        <v xml:space="preserve">   401390</v>
      </c>
      <c r="B1167"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167">
        <v>8860022</v>
      </c>
      <c r="D1167">
        <v>6393</v>
      </c>
    </row>
    <row r="1168" spans="1:4" x14ac:dyDescent="0.25">
      <c r="A1168" t="str">
        <f>T("   420299")</f>
        <v xml:space="preserve">   420299</v>
      </c>
      <c r="B1168" t="s">
        <v>174</v>
      </c>
      <c r="C1168">
        <v>447599</v>
      </c>
      <c r="D1168">
        <v>1000</v>
      </c>
    </row>
    <row r="1169" spans="1:4" x14ac:dyDescent="0.25">
      <c r="A1169" t="str">
        <f>T("   440890")</f>
        <v xml:space="preserve">   440890</v>
      </c>
      <c r="B1169" t="s">
        <v>181</v>
      </c>
      <c r="C1169">
        <v>13847862</v>
      </c>
      <c r="D1169">
        <v>22583</v>
      </c>
    </row>
    <row r="1170" spans="1:4" x14ac:dyDescent="0.25">
      <c r="A1170" t="str">
        <f>T("   490199")</f>
        <v xml:space="preserve">   490199</v>
      </c>
      <c r="B117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70">
        <v>1926983</v>
      </c>
      <c r="D1170">
        <v>2941</v>
      </c>
    </row>
    <row r="1171" spans="1:4" x14ac:dyDescent="0.25">
      <c r="A1171" t="str">
        <f>T("   491191")</f>
        <v xml:space="preserve">   491191</v>
      </c>
      <c r="B1171" t="str">
        <f>T("   Images, gravures et photographies, n.d.a.")</f>
        <v xml:space="preserve">   Images, gravures et photographies, n.d.a.</v>
      </c>
      <c r="C1171">
        <v>3809</v>
      </c>
      <c r="D1171">
        <v>1</v>
      </c>
    </row>
    <row r="1172" spans="1:4" x14ac:dyDescent="0.25">
      <c r="A1172" t="str">
        <f>T("   491199")</f>
        <v xml:space="preserve">   491199</v>
      </c>
      <c r="B1172" t="str">
        <f>T("   Imprimés, n.d.a.")</f>
        <v xml:space="preserve">   Imprimés, n.d.a.</v>
      </c>
      <c r="C1172">
        <v>641900</v>
      </c>
      <c r="D1172">
        <v>9</v>
      </c>
    </row>
    <row r="1173" spans="1:4" x14ac:dyDescent="0.25">
      <c r="A1173" t="str">
        <f>T("   570490")</f>
        <v xml:space="preserve">   570490</v>
      </c>
      <c r="B1173"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1173">
        <v>1037000</v>
      </c>
      <c r="D1173">
        <v>801</v>
      </c>
    </row>
    <row r="1174" spans="1:4" x14ac:dyDescent="0.25">
      <c r="A1174" t="str">
        <f>T("   610329")</f>
        <v xml:space="preserve">   610329</v>
      </c>
      <c r="B1174"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1174">
        <v>5000000</v>
      </c>
      <c r="D1174">
        <v>1000</v>
      </c>
    </row>
    <row r="1175" spans="1:4" x14ac:dyDescent="0.25">
      <c r="A1175" t="str">
        <f>T("   610590")</f>
        <v xml:space="preserve">   610590</v>
      </c>
      <c r="B1175"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175">
        <v>461390</v>
      </c>
      <c r="D1175">
        <v>88</v>
      </c>
    </row>
    <row r="1176" spans="1:4" x14ac:dyDescent="0.25">
      <c r="A1176" t="str">
        <f>T("   610910")</f>
        <v xml:space="preserve">   610910</v>
      </c>
      <c r="B1176" t="str">
        <f>T("   T-shirts et maillots de corps, en bonneterie, de coton,")</f>
        <v xml:space="preserve">   T-shirts et maillots de corps, en bonneterie, de coton,</v>
      </c>
      <c r="C1176">
        <v>4000</v>
      </c>
      <c r="D1176">
        <v>20</v>
      </c>
    </row>
    <row r="1177" spans="1:4" x14ac:dyDescent="0.25">
      <c r="A1177" t="str">
        <f>T("   610990")</f>
        <v xml:space="preserve">   610990</v>
      </c>
      <c r="B1177" t="str">
        <f>T("   T-shirts et maillots de corps, en bonneterie, de matières textiles (sauf de coton)")</f>
        <v xml:space="preserve">   T-shirts et maillots de corps, en bonneterie, de matières textiles (sauf de coton)</v>
      </c>
      <c r="C1177">
        <v>696993</v>
      </c>
      <c r="D1177">
        <v>5243</v>
      </c>
    </row>
    <row r="1178" spans="1:4" x14ac:dyDescent="0.25">
      <c r="A1178" t="str">
        <f>T("   620199")</f>
        <v xml:space="preserve">   620199</v>
      </c>
      <c r="B1178" t="s">
        <v>285</v>
      </c>
      <c r="C1178">
        <v>268890</v>
      </c>
      <c r="D1178">
        <v>17</v>
      </c>
    </row>
    <row r="1179" spans="1:4" x14ac:dyDescent="0.25">
      <c r="A1179" t="str">
        <f>T("   620319")</f>
        <v xml:space="preserve">   620319</v>
      </c>
      <c r="B1179" t="s">
        <v>288</v>
      </c>
      <c r="C1179">
        <v>25000</v>
      </c>
      <c r="D1179">
        <v>90</v>
      </c>
    </row>
    <row r="1180" spans="1:4" x14ac:dyDescent="0.25">
      <c r="A1180" t="str">
        <f>T("   620349")</f>
        <v xml:space="preserve">   620349</v>
      </c>
      <c r="B1180" t="s">
        <v>289</v>
      </c>
      <c r="C1180">
        <v>450000</v>
      </c>
      <c r="D1180">
        <v>106</v>
      </c>
    </row>
    <row r="1181" spans="1:4" x14ac:dyDescent="0.25">
      <c r="A1181" t="str">
        <f>T("   620590")</f>
        <v xml:space="preserve">   620590</v>
      </c>
      <c r="B11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81">
        <v>2900000</v>
      </c>
      <c r="D1181">
        <v>4200</v>
      </c>
    </row>
    <row r="1182" spans="1:4" x14ac:dyDescent="0.25">
      <c r="A1182" t="str">
        <f>T("   620630")</f>
        <v xml:space="preserve">   620630</v>
      </c>
      <c r="B1182"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1182">
        <v>200000</v>
      </c>
      <c r="D1182">
        <v>102</v>
      </c>
    </row>
    <row r="1183" spans="1:4" x14ac:dyDescent="0.25">
      <c r="A1183" t="str">
        <f>T("   620990")</f>
        <v xml:space="preserve">   620990</v>
      </c>
      <c r="B1183"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1183">
        <v>203130</v>
      </c>
      <c r="D1183">
        <v>20</v>
      </c>
    </row>
    <row r="1184" spans="1:4" x14ac:dyDescent="0.25">
      <c r="A1184" t="str">
        <f>T("   621020")</f>
        <v xml:space="preserve">   621020</v>
      </c>
      <c r="B1184"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1184">
        <v>85790</v>
      </c>
      <c r="D1184">
        <v>176</v>
      </c>
    </row>
    <row r="1185" spans="1:4" x14ac:dyDescent="0.25">
      <c r="A1185" t="str">
        <f>T("   621040")</f>
        <v xml:space="preserve">   621040</v>
      </c>
      <c r="B1185" t="s">
        <v>294</v>
      </c>
      <c r="C1185">
        <v>719274</v>
      </c>
      <c r="D1185">
        <v>1337</v>
      </c>
    </row>
    <row r="1186" spans="1:4" x14ac:dyDescent="0.25">
      <c r="A1186" t="str">
        <f>T("   630399")</f>
        <v xml:space="preserve">   630399</v>
      </c>
      <c r="B1186"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186">
        <v>2949536</v>
      </c>
      <c r="D1186">
        <v>4000</v>
      </c>
    </row>
    <row r="1187" spans="1:4" x14ac:dyDescent="0.25">
      <c r="A1187" t="str">
        <f>T("   630900")</f>
        <v xml:space="preserve">   630900</v>
      </c>
      <c r="B1187" t="s">
        <v>300</v>
      </c>
      <c r="C1187">
        <v>416824098</v>
      </c>
      <c r="D1187">
        <v>726440</v>
      </c>
    </row>
    <row r="1188" spans="1:4" x14ac:dyDescent="0.25">
      <c r="A1188" t="str">
        <f>T("   640219")</f>
        <v xml:space="preserve">   640219</v>
      </c>
      <c r="B1188" t="s">
        <v>303</v>
      </c>
      <c r="C1188">
        <v>6832</v>
      </c>
      <c r="D1188">
        <v>5</v>
      </c>
    </row>
    <row r="1189" spans="1:4" x14ac:dyDescent="0.25">
      <c r="A1189" t="str">
        <f>T("   660110")</f>
        <v xml:space="preserve">   660110</v>
      </c>
      <c r="B1189" t="str">
        <f>T("   Parasols de jardin et articles simil. (sauf tentes de plage)")</f>
        <v xml:space="preserve">   Parasols de jardin et articles simil. (sauf tentes de plage)</v>
      </c>
      <c r="C1189">
        <v>206380</v>
      </c>
      <c r="D1189">
        <v>86</v>
      </c>
    </row>
    <row r="1190" spans="1:4" x14ac:dyDescent="0.25">
      <c r="A1190" t="str">
        <f>T("   681019")</f>
        <v xml:space="preserve">   681019</v>
      </c>
      <c r="B1190"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190">
        <v>17664354</v>
      </c>
      <c r="D1190">
        <v>51483</v>
      </c>
    </row>
    <row r="1191" spans="1:4" x14ac:dyDescent="0.25">
      <c r="A1191" t="str">
        <f>T("   700721")</f>
        <v xml:space="preserve">   700721</v>
      </c>
      <c r="B1191" t="s">
        <v>346</v>
      </c>
      <c r="C1191">
        <v>250000</v>
      </c>
      <c r="D1191">
        <v>1000</v>
      </c>
    </row>
    <row r="1192" spans="1:4" x14ac:dyDescent="0.25">
      <c r="A1192" t="str">
        <f>T("   721391")</f>
        <v xml:space="preserve">   721391</v>
      </c>
      <c r="B119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192">
        <v>11369170</v>
      </c>
      <c r="D1192">
        <v>21000</v>
      </c>
    </row>
    <row r="1193" spans="1:4" x14ac:dyDescent="0.25">
      <c r="A1193" t="str">
        <f>T("   730690")</f>
        <v xml:space="preserve">   730690</v>
      </c>
      <c r="B119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1193">
        <v>46281868</v>
      </c>
      <c r="D1193">
        <v>93304</v>
      </c>
    </row>
    <row r="1194" spans="1:4" x14ac:dyDescent="0.25">
      <c r="A1194" t="str">
        <f>T("   731829")</f>
        <v xml:space="preserve">   731829</v>
      </c>
      <c r="B1194" t="str">
        <f>T("   Articles de boulonnerie et de visserie non filetés, en fonte, fer ou acier, n.d.a.")</f>
        <v xml:space="preserve">   Articles de boulonnerie et de visserie non filetés, en fonte, fer ou acier, n.d.a.</v>
      </c>
      <c r="C1194">
        <v>30119932</v>
      </c>
      <c r="D1194">
        <v>4842</v>
      </c>
    </row>
    <row r="1195" spans="1:4" x14ac:dyDescent="0.25">
      <c r="A1195" t="str">
        <f>T("   732111")</f>
        <v xml:space="preserve">   732111</v>
      </c>
      <c r="B1195" t="s">
        <v>382</v>
      </c>
      <c r="C1195">
        <v>1385458</v>
      </c>
      <c r="D1195">
        <v>385</v>
      </c>
    </row>
    <row r="1196" spans="1:4" x14ac:dyDescent="0.25">
      <c r="A1196" t="str">
        <f>T("   732393")</f>
        <v xml:space="preserve">   732393</v>
      </c>
      <c r="B1196" t="s">
        <v>388</v>
      </c>
      <c r="C1196">
        <v>210478</v>
      </c>
      <c r="D1196">
        <v>460</v>
      </c>
    </row>
    <row r="1197" spans="1:4" x14ac:dyDescent="0.25">
      <c r="A1197" t="str">
        <f>T("   732394")</f>
        <v xml:space="preserve">   732394</v>
      </c>
      <c r="B1197" t="s">
        <v>389</v>
      </c>
      <c r="C1197">
        <v>1500000</v>
      </c>
      <c r="D1197">
        <v>2300</v>
      </c>
    </row>
    <row r="1198" spans="1:4" x14ac:dyDescent="0.25">
      <c r="A1198" t="str">
        <f>T("   732399")</f>
        <v xml:space="preserve">   732399</v>
      </c>
      <c r="B1198" t="s">
        <v>390</v>
      </c>
      <c r="C1198">
        <v>566202</v>
      </c>
      <c r="D1198">
        <v>1887</v>
      </c>
    </row>
    <row r="1199" spans="1:4" x14ac:dyDescent="0.25">
      <c r="A1199" t="str">
        <f>T("   761519")</f>
        <v xml:space="preserve">   761519</v>
      </c>
      <c r="B1199" t="s">
        <v>397</v>
      </c>
      <c r="C1199">
        <v>324509</v>
      </c>
      <c r="D1199">
        <v>666</v>
      </c>
    </row>
    <row r="1200" spans="1:4" x14ac:dyDescent="0.25">
      <c r="A1200" t="str">
        <f>T("   820520")</f>
        <v xml:space="preserve">   820520</v>
      </c>
      <c r="B1200" t="str">
        <f>T("   Marteaux et masses, avec partie travaillante en métaux communs")</f>
        <v xml:space="preserve">   Marteaux et masses, avec partie travaillante en métaux communs</v>
      </c>
      <c r="C1200">
        <v>18077543</v>
      </c>
      <c r="D1200">
        <v>2906</v>
      </c>
    </row>
    <row r="1201" spans="1:4" x14ac:dyDescent="0.25">
      <c r="A1201" t="str">
        <f>T("   820559")</f>
        <v xml:space="preserve">   820559</v>
      </c>
      <c r="B1201" t="str">
        <f>T("   Outils à main, y.c. -les diamants de vitrier-, en métaux communs, n.d.a.")</f>
        <v xml:space="preserve">   Outils à main, y.c. -les diamants de vitrier-, en métaux communs, n.d.a.</v>
      </c>
      <c r="C1201">
        <v>117155781</v>
      </c>
      <c r="D1201">
        <v>1607.47</v>
      </c>
    </row>
    <row r="1202" spans="1:4" x14ac:dyDescent="0.25">
      <c r="A1202" t="str">
        <f>T("   820790")</f>
        <v xml:space="preserve">   820790</v>
      </c>
      <c r="B1202" t="str">
        <f>T("   Outils interchangeables pour outillage à main, mécanique ou non, ou pour machines-outils, n.d.a.")</f>
        <v xml:space="preserve">   Outils interchangeables pour outillage à main, mécanique ou non, ou pour machines-outils, n.d.a.</v>
      </c>
      <c r="C1202">
        <v>128749</v>
      </c>
      <c r="D1202">
        <v>3</v>
      </c>
    </row>
    <row r="1203" spans="1:4" x14ac:dyDescent="0.25">
      <c r="A1203" t="str">
        <f>T("   841280")</f>
        <v xml:space="preserve">   841280</v>
      </c>
      <c r="B1203"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1203">
        <v>12403401</v>
      </c>
      <c r="D1203">
        <v>1994</v>
      </c>
    </row>
    <row r="1204" spans="1:4" x14ac:dyDescent="0.25">
      <c r="A1204" t="str">
        <f>T("   841311")</f>
        <v xml:space="preserve">   841311</v>
      </c>
      <c r="B1204"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1204">
        <v>4448066</v>
      </c>
      <c r="D1204">
        <v>209</v>
      </c>
    </row>
    <row r="1205" spans="1:4" x14ac:dyDescent="0.25">
      <c r="A1205" t="str">
        <f>T("   841381")</f>
        <v xml:space="preserve">   841381</v>
      </c>
      <c r="B1205" t="s">
        <v>420</v>
      </c>
      <c r="C1205">
        <v>8233956</v>
      </c>
      <c r="D1205">
        <v>1324</v>
      </c>
    </row>
    <row r="1206" spans="1:4" x14ac:dyDescent="0.25">
      <c r="A1206" t="str">
        <f>T("   841420")</f>
        <v xml:space="preserve">   841420</v>
      </c>
      <c r="B1206" t="str">
        <f>T("   Pompes à air, à main ou à pied")</f>
        <v xml:space="preserve">   Pompes à air, à main ou à pied</v>
      </c>
      <c r="C1206">
        <v>60000</v>
      </c>
      <c r="D1206">
        <v>10</v>
      </c>
    </row>
    <row r="1207" spans="1:4" x14ac:dyDescent="0.25">
      <c r="A1207" t="str">
        <f>T("   841582")</f>
        <v xml:space="preserve">   841582</v>
      </c>
      <c r="B1207" t="s">
        <v>424</v>
      </c>
      <c r="C1207">
        <v>7294168</v>
      </c>
      <c r="D1207">
        <v>342</v>
      </c>
    </row>
    <row r="1208" spans="1:4" x14ac:dyDescent="0.25">
      <c r="A1208" t="str">
        <f>T("   841790")</f>
        <v xml:space="preserve">   841790</v>
      </c>
      <c r="B1208" t="str">
        <f>T("   Parties de fours industriels ou de laboratoire non-électriques, y.c. d'incinérateurs, n.d.a.")</f>
        <v xml:space="preserve">   Parties de fours industriels ou de laboratoire non-électriques, y.c. d'incinérateurs, n.d.a.</v>
      </c>
      <c r="C1208">
        <v>4374721</v>
      </c>
      <c r="D1208">
        <v>74</v>
      </c>
    </row>
    <row r="1209" spans="1:4" x14ac:dyDescent="0.25">
      <c r="A1209" t="str">
        <f>T("   841829")</f>
        <v xml:space="preserve">   841829</v>
      </c>
      <c r="B1209" t="str">
        <f>T("   Réfrigérateurs ménagers à absorption, non-électriques")</f>
        <v xml:space="preserve">   Réfrigérateurs ménagers à absorption, non-électriques</v>
      </c>
      <c r="C1209">
        <v>50000</v>
      </c>
      <c r="D1209">
        <v>35</v>
      </c>
    </row>
    <row r="1210" spans="1:4" x14ac:dyDescent="0.25">
      <c r="A1210" t="str">
        <f>T("   842121")</f>
        <v xml:space="preserve">   842121</v>
      </c>
      <c r="B1210" t="str">
        <f>T("   Appareils pour la filtration ou l'épuration des eaux")</f>
        <v xml:space="preserve">   Appareils pour la filtration ou l'épuration des eaux</v>
      </c>
      <c r="C1210">
        <v>2825543</v>
      </c>
      <c r="D1210">
        <v>133</v>
      </c>
    </row>
    <row r="1211" spans="1:4" x14ac:dyDescent="0.25">
      <c r="A1211" t="str">
        <f>T("   842240")</f>
        <v xml:space="preserve">   842240</v>
      </c>
      <c r="B1211" t="s">
        <v>429</v>
      </c>
      <c r="C1211">
        <v>5711338</v>
      </c>
      <c r="D1211">
        <v>425</v>
      </c>
    </row>
    <row r="1212" spans="1:4" x14ac:dyDescent="0.25">
      <c r="A1212" t="str">
        <f>T("   842389")</f>
        <v xml:space="preserve">   842389</v>
      </c>
      <c r="B1212" t="str">
        <f>T("   Appareils et instruments de pesage, portée &gt; 5000 kg")</f>
        <v xml:space="preserve">   Appareils et instruments de pesage, portée &gt; 5000 kg</v>
      </c>
      <c r="C1212">
        <v>412356</v>
      </c>
      <c r="D1212">
        <v>7</v>
      </c>
    </row>
    <row r="1213" spans="1:4" x14ac:dyDescent="0.25">
      <c r="A1213" t="str">
        <f>T("   842542")</f>
        <v xml:space="preserve">   842542</v>
      </c>
      <c r="B1213" t="str">
        <f>T("   Crics et vérins, hydrauliques (sauf élévateurs fixes des types utilisés dans les garages pour voitures)")</f>
        <v xml:space="preserve">   Crics et vérins, hydrauliques (sauf élévateurs fixes des types utilisés dans les garages pour voitures)</v>
      </c>
      <c r="C1213">
        <v>305950</v>
      </c>
      <c r="D1213">
        <v>4</v>
      </c>
    </row>
    <row r="1214" spans="1:4" x14ac:dyDescent="0.25">
      <c r="A1214" t="str">
        <f>T("   843143")</f>
        <v xml:space="preserve">   843143</v>
      </c>
      <c r="B1214" t="str">
        <f>T("   Parties de machines de sondage ou de forage du n° 8430.41 ou 8430.49, n.d.a.")</f>
        <v xml:space="preserve">   Parties de machines de sondage ou de forage du n° 8430.41 ou 8430.49, n.d.a.</v>
      </c>
      <c r="C1214">
        <v>784849</v>
      </c>
      <c r="D1214">
        <v>103</v>
      </c>
    </row>
    <row r="1215" spans="1:4" x14ac:dyDescent="0.25">
      <c r="A1215" t="str">
        <f>T("   844230")</f>
        <v xml:space="preserve">   844230</v>
      </c>
      <c r="B1215" t="s">
        <v>442</v>
      </c>
      <c r="C1215">
        <v>1864996</v>
      </c>
      <c r="D1215">
        <v>686</v>
      </c>
    </row>
    <row r="1216" spans="1:4" x14ac:dyDescent="0.25">
      <c r="A1216" t="str">
        <f>T("   847130")</f>
        <v xml:space="preserve">   847130</v>
      </c>
      <c r="B1216"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216">
        <v>328000</v>
      </c>
      <c r="D1216">
        <v>70</v>
      </c>
    </row>
    <row r="1217" spans="1:4" x14ac:dyDescent="0.25">
      <c r="A1217" t="str">
        <f>T("   847141")</f>
        <v xml:space="preserve">   847141</v>
      </c>
      <c r="B1217" t="s">
        <v>458</v>
      </c>
      <c r="C1217">
        <v>100000</v>
      </c>
      <c r="D1217">
        <v>30</v>
      </c>
    </row>
    <row r="1218" spans="1:4" x14ac:dyDescent="0.25">
      <c r="A1218" t="str">
        <f>T("   847149")</f>
        <v xml:space="preserve">   847149</v>
      </c>
      <c r="B1218" t="s">
        <v>459</v>
      </c>
      <c r="C1218">
        <v>8804433</v>
      </c>
      <c r="D1218">
        <v>1194</v>
      </c>
    </row>
    <row r="1219" spans="1:4" x14ac:dyDescent="0.25">
      <c r="A1219" t="str">
        <f>T("   847180")</f>
        <v xml:space="preserve">   847180</v>
      </c>
      <c r="B121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219">
        <v>5205243</v>
      </c>
      <c r="D1219">
        <v>147</v>
      </c>
    </row>
    <row r="1220" spans="1:4" x14ac:dyDescent="0.25">
      <c r="A1220" t="str">
        <f>T("   847190")</f>
        <v xml:space="preserve">   847190</v>
      </c>
      <c r="B122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220">
        <v>101141872</v>
      </c>
      <c r="D1220">
        <v>1627</v>
      </c>
    </row>
    <row r="1221" spans="1:4" x14ac:dyDescent="0.25">
      <c r="A1221" t="str">
        <f>T("   847290")</f>
        <v xml:space="preserve">   847290</v>
      </c>
      <c r="B1221" t="str">
        <f>T("   Machines et appareils de bureau, n.d.a.")</f>
        <v xml:space="preserve">   Machines et appareils de bureau, n.d.a.</v>
      </c>
      <c r="C1221">
        <v>13673</v>
      </c>
      <c r="D1221">
        <v>3</v>
      </c>
    </row>
    <row r="1222" spans="1:4" x14ac:dyDescent="0.25">
      <c r="A1222" t="str">
        <f>T("   847989")</f>
        <v xml:space="preserve">   847989</v>
      </c>
      <c r="B1222" t="str">
        <f>T("   Machines et appareils, y.c. les appareils mécaniques, n.d.a.")</f>
        <v xml:space="preserve">   Machines et appareils, y.c. les appareils mécaniques, n.d.a.</v>
      </c>
      <c r="C1222">
        <v>605617</v>
      </c>
      <c r="D1222">
        <v>10</v>
      </c>
    </row>
    <row r="1223" spans="1:4" x14ac:dyDescent="0.25">
      <c r="A1223" t="str">
        <f>T("   847990")</f>
        <v xml:space="preserve">   847990</v>
      </c>
      <c r="B1223" t="str">
        <f>T("   Parties de machines et appareils, y.c. les appareils mécaniques, n.d.a.")</f>
        <v xml:space="preserve">   Parties de machines et appareils, y.c. les appareils mécaniques, n.d.a.</v>
      </c>
      <c r="C1223">
        <v>543374</v>
      </c>
      <c r="D1223">
        <v>2.5</v>
      </c>
    </row>
    <row r="1224" spans="1:4" x14ac:dyDescent="0.25">
      <c r="A1224" t="str">
        <f>T("   850239")</f>
        <v xml:space="preserve">   850239</v>
      </c>
      <c r="B1224" t="str">
        <f>T("   Groupes électrogènes (autres qu'à énergie éolienne et à moteurs à piston)")</f>
        <v xml:space="preserve">   Groupes électrogènes (autres qu'à énergie éolienne et à moteurs à piston)</v>
      </c>
      <c r="C1224">
        <v>50000</v>
      </c>
      <c r="D1224">
        <v>10</v>
      </c>
    </row>
    <row r="1225" spans="1:4" x14ac:dyDescent="0.25">
      <c r="A1225" t="str">
        <f>T("   850432")</f>
        <v xml:space="preserve">   850432</v>
      </c>
      <c r="B1225" t="str">
        <f>T("   Transformateurs à sec, puissance &gt; 1 kVA mais &lt;= 16 kVA")</f>
        <v xml:space="preserve">   Transformateurs à sec, puissance &gt; 1 kVA mais &lt;= 16 kVA</v>
      </c>
      <c r="C1225">
        <v>2294109</v>
      </c>
      <c r="D1225">
        <v>368</v>
      </c>
    </row>
    <row r="1226" spans="1:4" x14ac:dyDescent="0.25">
      <c r="A1226" t="str">
        <f>T("   850440")</f>
        <v xml:space="preserve">   850440</v>
      </c>
      <c r="B1226" t="str">
        <f>T("   CONVERTISSEURS STATIQUES")</f>
        <v xml:space="preserve">   CONVERTISSEURS STATIQUES</v>
      </c>
      <c r="C1226">
        <v>5647975</v>
      </c>
      <c r="D1226">
        <v>95</v>
      </c>
    </row>
    <row r="1227" spans="1:4" x14ac:dyDescent="0.25">
      <c r="A1227" t="str">
        <f>T("   850610")</f>
        <v xml:space="preserve">   850610</v>
      </c>
      <c r="B1227" t="str">
        <f>T("   Piles et batteries de piles électriques, au bioxyde de manganèse (sauf hors d'usage)")</f>
        <v xml:space="preserve">   Piles et batteries de piles électriques, au bioxyde de manganèse (sauf hors d'usage)</v>
      </c>
      <c r="C1227">
        <v>13703525</v>
      </c>
      <c r="D1227">
        <v>2203</v>
      </c>
    </row>
    <row r="1228" spans="1:4" x14ac:dyDescent="0.25">
      <c r="A1228" t="str">
        <f>T("   851679")</f>
        <v xml:space="preserve">   851679</v>
      </c>
      <c r="B1228" t="s">
        <v>478</v>
      </c>
      <c r="C1228">
        <v>123622</v>
      </c>
      <c r="D1228">
        <v>160</v>
      </c>
    </row>
    <row r="1229" spans="1:4" x14ac:dyDescent="0.25">
      <c r="A1229" t="str">
        <f>T("   851712")</f>
        <v xml:space="preserve">   851712</v>
      </c>
      <c r="B1229" t="str">
        <f>T("   TÉLÉPHONES POUR RÉSEAUX CELLULAIRES [TÉLÉPHONES MOBILES] ET POUR AUTRES RÉSEAUX SANS FIL")</f>
        <v xml:space="preserve">   TÉLÉPHONES POUR RÉSEAUX CELLULAIRES [TÉLÉPHONES MOBILES] ET POUR AUTRES RÉSEAUX SANS FIL</v>
      </c>
      <c r="C1229">
        <v>130547</v>
      </c>
      <c r="D1229">
        <v>0.45</v>
      </c>
    </row>
    <row r="1230" spans="1:4" x14ac:dyDescent="0.25">
      <c r="A1230" t="str">
        <f>T("   851829")</f>
        <v xml:space="preserve">   851829</v>
      </c>
      <c r="B1230" t="str">
        <f>T("   Haut-parleurs sans enceinte")</f>
        <v xml:space="preserve">   Haut-parleurs sans enceinte</v>
      </c>
      <c r="C1230">
        <v>45000</v>
      </c>
      <c r="D1230">
        <v>15</v>
      </c>
    </row>
    <row r="1231" spans="1:4" x14ac:dyDescent="0.25">
      <c r="A1231" t="str">
        <f>T("   852390")</f>
        <v xml:space="preserve">   852390</v>
      </c>
      <c r="B1231"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1231">
        <v>20510</v>
      </c>
      <c r="D1231">
        <v>2</v>
      </c>
    </row>
    <row r="1232" spans="1:4" x14ac:dyDescent="0.25">
      <c r="A1232" t="str">
        <f>T("   852610")</f>
        <v xml:space="preserve">   852610</v>
      </c>
      <c r="B1232" t="str">
        <f>T("   Appareils de radiodétection et de radiosondage [radar]")</f>
        <v xml:space="preserve">   Appareils de radiodétection et de radiosondage [radar]</v>
      </c>
      <c r="C1232">
        <v>1863318</v>
      </c>
      <c r="D1232">
        <v>1</v>
      </c>
    </row>
    <row r="1233" spans="1:4" x14ac:dyDescent="0.25">
      <c r="A1233" t="str">
        <f>T("   852692")</f>
        <v xml:space="preserve">   852692</v>
      </c>
      <c r="B1233" t="str">
        <f>T("   Appareils de radiotélécommande")</f>
        <v xml:space="preserve">   Appareils de radiotélécommande</v>
      </c>
      <c r="C1233">
        <v>59578</v>
      </c>
      <c r="D1233">
        <v>3</v>
      </c>
    </row>
    <row r="1234" spans="1:4" x14ac:dyDescent="0.25">
      <c r="A1234" t="str">
        <f>T("   852812")</f>
        <v xml:space="preserve">   852812</v>
      </c>
      <c r="B123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234">
        <v>10000</v>
      </c>
      <c r="D1234">
        <v>10</v>
      </c>
    </row>
    <row r="1235" spans="1:4" x14ac:dyDescent="0.25">
      <c r="A1235" t="str">
        <f>T("   852849")</f>
        <v xml:space="preserve">   852849</v>
      </c>
      <c r="B1235"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1235">
        <v>260103</v>
      </c>
      <c r="D1235">
        <v>4</v>
      </c>
    </row>
    <row r="1236" spans="1:4" x14ac:dyDescent="0.25">
      <c r="A1236" t="str">
        <f>T("   853690")</f>
        <v xml:space="preserve">   853690</v>
      </c>
      <c r="B1236" t="s">
        <v>499</v>
      </c>
      <c r="C1236">
        <v>359371</v>
      </c>
      <c r="D1236">
        <v>13</v>
      </c>
    </row>
    <row r="1237" spans="1:4" x14ac:dyDescent="0.25">
      <c r="A1237" t="str">
        <f>T("   854239")</f>
        <v xml:space="preserve">   854239</v>
      </c>
      <c r="B1237" t="str">
        <f>T("   CIRCUITS INTÉGRÉS ÉLECTRONIQUES (À L'EXCL. DE CEUX UTILISÉS COMME PROCESSEURS, CONTRÔLEURS, MÉMOIRES ET AMPLIFICATEURS)")</f>
        <v xml:space="preserve">   CIRCUITS INTÉGRÉS ÉLECTRONIQUES (À L'EXCL. DE CEUX UTILISÉS COMME PROCESSEURS, CONTRÔLEURS, MÉMOIRES ET AMPLIFICATEURS)</v>
      </c>
      <c r="C1237">
        <v>803968</v>
      </c>
      <c r="D1237">
        <v>14</v>
      </c>
    </row>
    <row r="1238" spans="1:4" x14ac:dyDescent="0.25">
      <c r="A1238" t="str">
        <f>T("   860900")</f>
        <v xml:space="preserve">   860900</v>
      </c>
      <c r="B1238"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238">
        <v>7344904</v>
      </c>
      <c r="D1238">
        <v>1182</v>
      </c>
    </row>
    <row r="1239" spans="1:4" x14ac:dyDescent="0.25">
      <c r="A1239" t="str">
        <f>T("   870210")</f>
        <v xml:space="preserve">   870210</v>
      </c>
      <c r="B1239" t="s">
        <v>503</v>
      </c>
      <c r="C1239">
        <v>8401323</v>
      </c>
      <c r="D1239">
        <v>6600</v>
      </c>
    </row>
    <row r="1240" spans="1:4" x14ac:dyDescent="0.25">
      <c r="A1240" t="str">
        <f>T("   870290")</f>
        <v xml:space="preserve">   870290</v>
      </c>
      <c r="B1240" t="s">
        <v>504</v>
      </c>
      <c r="C1240">
        <v>1200000</v>
      </c>
      <c r="D1240">
        <v>1428</v>
      </c>
    </row>
    <row r="1241" spans="1:4" x14ac:dyDescent="0.25">
      <c r="A1241" t="str">
        <f>T("   870322")</f>
        <v xml:space="preserve">   870322</v>
      </c>
      <c r="B1241" t="s">
        <v>506</v>
      </c>
      <c r="C1241">
        <v>28608746</v>
      </c>
      <c r="D1241">
        <v>23030</v>
      </c>
    </row>
    <row r="1242" spans="1:4" x14ac:dyDescent="0.25">
      <c r="A1242" t="str">
        <f>T("   870323")</f>
        <v xml:space="preserve">   870323</v>
      </c>
      <c r="B1242" t="s">
        <v>507</v>
      </c>
      <c r="C1242">
        <v>100239117</v>
      </c>
      <c r="D1242">
        <v>60032</v>
      </c>
    </row>
    <row r="1243" spans="1:4" x14ac:dyDescent="0.25">
      <c r="A1243" t="str">
        <f>T("   870324")</f>
        <v xml:space="preserve">   870324</v>
      </c>
      <c r="B1243" t="s">
        <v>508</v>
      </c>
      <c r="C1243">
        <v>56376792</v>
      </c>
      <c r="D1243">
        <v>25993</v>
      </c>
    </row>
    <row r="1244" spans="1:4" x14ac:dyDescent="0.25">
      <c r="A1244" t="str">
        <f>T("   870332")</f>
        <v xml:space="preserve">   870332</v>
      </c>
      <c r="B1244" t="s">
        <v>510</v>
      </c>
      <c r="C1244">
        <v>1200000</v>
      </c>
      <c r="D1244">
        <v>850</v>
      </c>
    </row>
    <row r="1245" spans="1:4" x14ac:dyDescent="0.25">
      <c r="A1245" t="str">
        <f>T("   870333")</f>
        <v xml:space="preserve">   870333</v>
      </c>
      <c r="B1245" t="s">
        <v>511</v>
      </c>
      <c r="C1245">
        <v>2222224</v>
      </c>
      <c r="D1245">
        <v>1530</v>
      </c>
    </row>
    <row r="1246" spans="1:4" x14ac:dyDescent="0.25">
      <c r="A1246" t="str">
        <f>T("   870421")</f>
        <v xml:space="preserve">   870421</v>
      </c>
      <c r="B1246" t="s">
        <v>512</v>
      </c>
      <c r="C1246">
        <v>10175375</v>
      </c>
      <c r="D1246">
        <v>5992</v>
      </c>
    </row>
    <row r="1247" spans="1:4" x14ac:dyDescent="0.25">
      <c r="A1247" t="str">
        <f>T("   870431")</f>
        <v xml:space="preserve">   870431</v>
      </c>
      <c r="B1247" t="s">
        <v>515</v>
      </c>
      <c r="C1247">
        <v>3655028</v>
      </c>
      <c r="D1247">
        <v>3000</v>
      </c>
    </row>
    <row r="1248" spans="1:4" x14ac:dyDescent="0.25">
      <c r="A1248" t="str">
        <f>T("   870520")</f>
        <v xml:space="preserve">   870520</v>
      </c>
      <c r="B1248" t="str">
        <f>T("   Derricks automobiles pour le sondage ou le forage")</f>
        <v xml:space="preserve">   Derricks automobiles pour le sondage ou le forage</v>
      </c>
      <c r="C1248">
        <v>66196701</v>
      </c>
      <c r="D1248">
        <v>13608</v>
      </c>
    </row>
    <row r="1249" spans="1:4" x14ac:dyDescent="0.25">
      <c r="A1249" t="str">
        <f>T("   870899")</f>
        <v xml:space="preserve">   870899</v>
      </c>
      <c r="B124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249">
        <v>44048097</v>
      </c>
      <c r="D1249">
        <v>52769</v>
      </c>
    </row>
    <row r="1250" spans="1:4" x14ac:dyDescent="0.25">
      <c r="A1250" t="str">
        <f>T("   870919")</f>
        <v xml:space="preserve">   870919</v>
      </c>
      <c r="B1250"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250">
        <v>100000</v>
      </c>
      <c r="D1250">
        <v>100</v>
      </c>
    </row>
    <row r="1251" spans="1:4" x14ac:dyDescent="0.25">
      <c r="A1251" t="str">
        <f>T("   871110")</f>
        <v xml:space="preserve">   871110</v>
      </c>
      <c r="B1251" t="str">
        <f>T("   Cyclomoteurs, à moteur à piston alternatif, cylindrée &lt;= 50 cm³, y.c. cycles à moteur auxiliaire")</f>
        <v xml:space="preserve">   Cyclomoteurs, à moteur à piston alternatif, cylindrée &lt;= 50 cm³, y.c. cycles à moteur auxiliaire</v>
      </c>
      <c r="C1251">
        <v>223770</v>
      </c>
      <c r="D1251">
        <v>169</v>
      </c>
    </row>
    <row r="1252" spans="1:4" x14ac:dyDescent="0.25">
      <c r="A1252" t="str">
        <f>T("   871200")</f>
        <v xml:space="preserve">   871200</v>
      </c>
      <c r="B1252" t="str">
        <f>T("   BICYCLETTES ET AUTRES CYCLES, -Y.C. LES TRIPORTEURS-, SANS MOTEUR")</f>
        <v xml:space="preserve">   BICYCLETTES ET AUTRES CYCLES, -Y.C. LES TRIPORTEURS-, SANS MOTEUR</v>
      </c>
      <c r="C1252">
        <v>2242193</v>
      </c>
      <c r="D1252">
        <v>2788</v>
      </c>
    </row>
    <row r="1253" spans="1:4" x14ac:dyDescent="0.25">
      <c r="A1253" t="str">
        <f>T("   880330")</f>
        <v xml:space="preserve">   880330</v>
      </c>
      <c r="B1253" t="str">
        <f>T("   Parties d'avions ou d'hélicoptères, n.d.a. (sauf planeurs)")</f>
        <v xml:space="preserve">   Parties d'avions ou d'hélicoptères, n.d.a. (sauf planeurs)</v>
      </c>
      <c r="C1253">
        <v>11743365</v>
      </c>
      <c r="D1253">
        <v>80.099999999999994</v>
      </c>
    </row>
    <row r="1254" spans="1:4" x14ac:dyDescent="0.25">
      <c r="A1254" t="str">
        <f>T("   890310")</f>
        <v xml:space="preserve">   890310</v>
      </c>
      <c r="B1254" t="str">
        <f>T("   Bateaux gonflables, de plaisance ou de sport")</f>
        <v xml:space="preserve">   Bateaux gonflables, de plaisance ou de sport</v>
      </c>
      <c r="C1254">
        <v>294082161</v>
      </c>
      <c r="D1254">
        <v>4965</v>
      </c>
    </row>
    <row r="1255" spans="1:4" x14ac:dyDescent="0.25">
      <c r="A1255" t="str">
        <f>T("   901890")</f>
        <v xml:space="preserve">   901890</v>
      </c>
      <c r="B1255" t="str">
        <f>T("   Instruments et appareils pour la médecine, la chirurgie ou l'art vétérinaire, n.d.a.")</f>
        <v xml:space="preserve">   Instruments et appareils pour la médecine, la chirurgie ou l'art vétérinaire, n.d.a.</v>
      </c>
      <c r="C1255">
        <v>2968008</v>
      </c>
      <c r="D1255">
        <v>29</v>
      </c>
    </row>
    <row r="1256" spans="1:4" x14ac:dyDescent="0.25">
      <c r="A1256" t="str">
        <f>T("   902610")</f>
        <v xml:space="preserve">   902610</v>
      </c>
      <c r="B1256"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256">
        <v>9562</v>
      </c>
      <c r="D1256">
        <v>0.03</v>
      </c>
    </row>
    <row r="1257" spans="1:4" x14ac:dyDescent="0.25">
      <c r="A1257" t="str">
        <f>T("   902780")</f>
        <v xml:space="preserve">   902780</v>
      </c>
      <c r="B1257"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257">
        <v>529504</v>
      </c>
      <c r="D1257">
        <v>10</v>
      </c>
    </row>
    <row r="1258" spans="1:4" x14ac:dyDescent="0.25">
      <c r="A1258" t="str">
        <f>T("   903031")</f>
        <v xml:space="preserve">   903031</v>
      </c>
      <c r="B1258"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1258">
        <v>26840767</v>
      </c>
      <c r="D1258">
        <v>450</v>
      </c>
    </row>
    <row r="1259" spans="1:4" x14ac:dyDescent="0.25">
      <c r="A1259" t="str">
        <f>T("   940180")</f>
        <v xml:space="preserve">   940180</v>
      </c>
      <c r="B1259" t="str">
        <f>T("   Sièges, n.d.a.")</f>
        <v xml:space="preserve">   Sièges, n.d.a.</v>
      </c>
      <c r="C1259">
        <v>329164</v>
      </c>
      <c r="D1259">
        <v>430</v>
      </c>
    </row>
    <row r="1260" spans="1:4" x14ac:dyDescent="0.25">
      <c r="A1260" t="str">
        <f>T("   940320")</f>
        <v xml:space="preserve">   940320</v>
      </c>
      <c r="B126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260">
        <v>4390083</v>
      </c>
      <c r="D1260">
        <v>504</v>
      </c>
    </row>
    <row r="1261" spans="1:4" x14ac:dyDescent="0.25">
      <c r="A1261" t="str">
        <f>T("   940350")</f>
        <v xml:space="preserve">   940350</v>
      </c>
      <c r="B1261" t="str">
        <f>T("   Meubles pour chambres à coucher, en bois (sauf sièges)")</f>
        <v xml:space="preserve">   Meubles pour chambres à coucher, en bois (sauf sièges)</v>
      </c>
      <c r="C1261">
        <v>6600000</v>
      </c>
      <c r="D1261">
        <v>8000</v>
      </c>
    </row>
    <row r="1262" spans="1:4" x14ac:dyDescent="0.25">
      <c r="A1262" t="str">
        <f>T("   940360")</f>
        <v xml:space="preserve">   940360</v>
      </c>
      <c r="B1262" t="str">
        <f>T("   Meubles en bois (autres que pour bureaux, cuisines ou chambres à coucher et autres que sièges)")</f>
        <v xml:space="preserve">   Meubles en bois (autres que pour bureaux, cuisines ou chambres à coucher et autres que sièges)</v>
      </c>
      <c r="C1262">
        <v>5050435</v>
      </c>
      <c r="D1262">
        <v>20461</v>
      </c>
    </row>
    <row r="1263" spans="1:4" x14ac:dyDescent="0.25">
      <c r="A1263" t="str">
        <f>T("   940380")</f>
        <v xml:space="preserve">   940380</v>
      </c>
      <c r="B1263" t="str">
        <f>T("   Meubles en rotin, osier, bambou ou autres matières (sauf métal, bois et matières plastiques)")</f>
        <v xml:space="preserve">   Meubles en rotin, osier, bambou ou autres matières (sauf métal, bois et matières plastiques)</v>
      </c>
      <c r="C1263">
        <v>163990</v>
      </c>
      <c r="D1263">
        <v>1000</v>
      </c>
    </row>
    <row r="1264" spans="1:4" x14ac:dyDescent="0.25">
      <c r="A1264" t="str">
        <f>T("   940389")</f>
        <v xml:space="preserve">   940389</v>
      </c>
      <c r="B1264"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264">
        <v>964896</v>
      </c>
      <c r="D1264">
        <v>3590</v>
      </c>
    </row>
    <row r="1265" spans="1:4" x14ac:dyDescent="0.25">
      <c r="A1265" t="str">
        <f>T("   940410")</f>
        <v xml:space="preserve">   940410</v>
      </c>
      <c r="B1265" t="str">
        <f>T("   Sommiers (sauf ressorts pour sièges)")</f>
        <v xml:space="preserve">   Sommiers (sauf ressorts pour sièges)</v>
      </c>
      <c r="C1265">
        <v>340000</v>
      </c>
      <c r="D1265">
        <v>1000</v>
      </c>
    </row>
    <row r="1266" spans="1:4" x14ac:dyDescent="0.25">
      <c r="A1266" t="str">
        <f>T("   940429")</f>
        <v xml:space="preserve">   940429</v>
      </c>
      <c r="B1266"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266">
        <v>440000</v>
      </c>
      <c r="D1266">
        <v>1000</v>
      </c>
    </row>
    <row r="1267" spans="1:4" x14ac:dyDescent="0.25">
      <c r="A1267" t="str">
        <f>T("   940490")</f>
        <v xml:space="preserve">   940490</v>
      </c>
      <c r="B1267" t="s">
        <v>537</v>
      </c>
      <c r="C1267">
        <v>972889</v>
      </c>
      <c r="D1267">
        <v>1603</v>
      </c>
    </row>
    <row r="1268" spans="1:4" x14ac:dyDescent="0.25">
      <c r="A1268" t="str">
        <f>T("   950300")</f>
        <v xml:space="preserve">   950300</v>
      </c>
      <c r="B1268"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1268">
        <v>986989</v>
      </c>
      <c r="D1268">
        <v>1260</v>
      </c>
    </row>
    <row r="1269" spans="1:4" x14ac:dyDescent="0.25">
      <c r="A1269" t="str">
        <f>T("   950410")</f>
        <v xml:space="preserve">   950410</v>
      </c>
      <c r="B1269" t="str">
        <f>T("   Jeux vidéo des types utilisables avec un récepteur de télévision")</f>
        <v xml:space="preserve">   Jeux vidéo des types utilisables avec un récepteur de télévision</v>
      </c>
      <c r="C1269">
        <v>13673</v>
      </c>
      <c r="D1269">
        <v>2</v>
      </c>
    </row>
    <row r="1270" spans="1:4" x14ac:dyDescent="0.25">
      <c r="A1270" t="str">
        <f>T("   950490")</f>
        <v xml:space="preserve">   950490</v>
      </c>
      <c r="B1270" t="s">
        <v>539</v>
      </c>
      <c r="C1270">
        <v>1314660</v>
      </c>
      <c r="D1270">
        <v>2987</v>
      </c>
    </row>
    <row r="1271" spans="1:4" x14ac:dyDescent="0.25">
      <c r="A1271" t="str">
        <f>T("CD")</f>
        <v>CD</v>
      </c>
      <c r="B1271" t="str">
        <f>T("Congo, République Démocratique")</f>
        <v>Congo, République Démocratique</v>
      </c>
    </row>
    <row r="1272" spans="1:4" x14ac:dyDescent="0.25">
      <c r="A1272" t="str">
        <f>T("   ZZ_Total_Produit_SH6")</f>
        <v xml:space="preserve">   ZZ_Total_Produit_SH6</v>
      </c>
      <c r="B1272" t="str">
        <f>T("   ZZ_Total_Produit_SH6")</f>
        <v xml:space="preserve">   ZZ_Total_Produit_SH6</v>
      </c>
      <c r="C1272">
        <v>14723775</v>
      </c>
      <c r="D1272">
        <v>25000</v>
      </c>
    </row>
    <row r="1273" spans="1:4" x14ac:dyDescent="0.25">
      <c r="A1273" t="str">
        <f>T("   330499")</f>
        <v xml:space="preserve">   330499</v>
      </c>
      <c r="B1273" t="s">
        <v>106</v>
      </c>
      <c r="C1273">
        <v>2292000</v>
      </c>
      <c r="D1273">
        <v>18000</v>
      </c>
    </row>
    <row r="1274" spans="1:4" x14ac:dyDescent="0.25">
      <c r="A1274" t="str">
        <f>T("   620590")</f>
        <v xml:space="preserve">   620590</v>
      </c>
      <c r="B127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74">
        <v>1700000</v>
      </c>
      <c r="D1274">
        <v>1750</v>
      </c>
    </row>
    <row r="1275" spans="1:4" x14ac:dyDescent="0.25">
      <c r="A1275" t="str">
        <f>T("   732394")</f>
        <v xml:space="preserve">   732394</v>
      </c>
      <c r="B1275" t="s">
        <v>389</v>
      </c>
      <c r="C1275">
        <v>600000</v>
      </c>
      <c r="D1275">
        <v>600</v>
      </c>
    </row>
    <row r="1276" spans="1:4" x14ac:dyDescent="0.25">
      <c r="A1276" t="str">
        <f>T("   870323")</f>
        <v xml:space="preserve">   870323</v>
      </c>
      <c r="B1276" t="s">
        <v>507</v>
      </c>
      <c r="C1276">
        <v>6931775</v>
      </c>
      <c r="D1276">
        <v>1750</v>
      </c>
    </row>
    <row r="1277" spans="1:4" x14ac:dyDescent="0.25">
      <c r="A1277" t="str">
        <f>T("   940350")</f>
        <v xml:space="preserve">   940350</v>
      </c>
      <c r="B1277" t="str">
        <f>T("   Meubles pour chambres à coucher, en bois (sauf sièges)")</f>
        <v xml:space="preserve">   Meubles pour chambres à coucher, en bois (sauf sièges)</v>
      </c>
      <c r="C1277">
        <v>3200000</v>
      </c>
      <c r="D1277">
        <v>2900</v>
      </c>
    </row>
    <row r="1278" spans="1:4" x14ac:dyDescent="0.25">
      <c r="A1278" t="str">
        <f>T("CG")</f>
        <v>CG</v>
      </c>
      <c r="B1278" t="str">
        <f>T("Congo (Brazzaville)")</f>
        <v>Congo (Brazzaville)</v>
      </c>
    </row>
    <row r="1279" spans="1:4" x14ac:dyDescent="0.25">
      <c r="A1279" t="str">
        <f>T("   ZZ_Total_Produit_SH6")</f>
        <v xml:space="preserve">   ZZ_Total_Produit_SH6</v>
      </c>
      <c r="B1279" t="str">
        <f>T("   ZZ_Total_Produit_SH6")</f>
        <v xml:space="preserve">   ZZ_Total_Produit_SH6</v>
      </c>
      <c r="C1279">
        <v>440268368</v>
      </c>
      <c r="D1279">
        <v>660555</v>
      </c>
    </row>
    <row r="1280" spans="1:4" x14ac:dyDescent="0.25">
      <c r="A1280" t="str">
        <f>T("   271113")</f>
        <v xml:space="preserve">   271113</v>
      </c>
      <c r="B1280" t="str">
        <f>T("   Butanes, liquéfiés (à l'excl. des butanes d'une pureté &gt;= 95% en n-butane ou en isobutane)")</f>
        <v xml:space="preserve">   Butanes, liquéfiés (à l'excl. des butanes d'une pureté &gt;= 95% en n-butane ou en isobutane)</v>
      </c>
      <c r="C1280">
        <v>80500000</v>
      </c>
      <c r="D1280">
        <v>230000</v>
      </c>
    </row>
    <row r="1281" spans="1:4" x14ac:dyDescent="0.25">
      <c r="A1281" t="str">
        <f>T("   490199")</f>
        <v xml:space="preserve">   490199</v>
      </c>
      <c r="B128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81">
        <v>1150000</v>
      </c>
      <c r="D1281">
        <v>1300</v>
      </c>
    </row>
    <row r="1282" spans="1:4" x14ac:dyDescent="0.25">
      <c r="A1282" t="str">
        <f>T("   491199")</f>
        <v xml:space="preserve">   491199</v>
      </c>
      <c r="B1282" t="str">
        <f>T("   Imprimés, n.d.a.")</f>
        <v xml:space="preserve">   Imprimés, n.d.a.</v>
      </c>
      <c r="C1282">
        <v>69000</v>
      </c>
      <c r="D1282">
        <v>113</v>
      </c>
    </row>
    <row r="1283" spans="1:4" x14ac:dyDescent="0.25">
      <c r="A1283" t="str">
        <f>T("   620339")</f>
        <v xml:space="preserve">   620339</v>
      </c>
      <c r="B1283"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1283">
        <v>1617268</v>
      </c>
      <c r="D1283">
        <v>345</v>
      </c>
    </row>
    <row r="1284" spans="1:4" x14ac:dyDescent="0.25">
      <c r="A1284" t="str">
        <f>T("   640320")</f>
        <v xml:space="preserve">   640320</v>
      </c>
      <c r="B1284"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1284">
        <v>929612</v>
      </c>
      <c r="D1284">
        <v>196</v>
      </c>
    </row>
    <row r="1285" spans="1:4" x14ac:dyDescent="0.25">
      <c r="A1285" t="str">
        <f>T("   730799")</f>
        <v xml:space="preserve">   730799</v>
      </c>
      <c r="B128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285">
        <v>886672</v>
      </c>
      <c r="D1285">
        <v>1087</v>
      </c>
    </row>
    <row r="1286" spans="1:4" x14ac:dyDescent="0.25">
      <c r="A1286" t="str">
        <f>T("   730840")</f>
        <v xml:space="preserve">   730840</v>
      </c>
      <c r="B1286"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1286">
        <v>2762720</v>
      </c>
      <c r="D1286">
        <v>875</v>
      </c>
    </row>
    <row r="1287" spans="1:4" x14ac:dyDescent="0.25">
      <c r="A1287" t="str">
        <f>T("   732690")</f>
        <v xml:space="preserve">   732690</v>
      </c>
      <c r="B128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287">
        <v>200814244</v>
      </c>
      <c r="D1287">
        <v>246198</v>
      </c>
    </row>
    <row r="1288" spans="1:4" x14ac:dyDescent="0.25">
      <c r="A1288" t="str">
        <f>T("   820559")</f>
        <v xml:space="preserve">   820559</v>
      </c>
      <c r="B1288" t="str">
        <f>T("   Outils à main, y.c. -les diamants de vitrier-, en métaux communs, n.d.a.")</f>
        <v xml:space="preserve">   Outils à main, y.c. -les diamants de vitrier-, en métaux communs, n.d.a.</v>
      </c>
      <c r="C1288">
        <v>125310662</v>
      </c>
      <c r="D1288">
        <v>166404</v>
      </c>
    </row>
    <row r="1289" spans="1:4" x14ac:dyDescent="0.25">
      <c r="A1289" t="str">
        <f>T("   820719")</f>
        <v xml:space="preserve">   820719</v>
      </c>
      <c r="B1289"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1289">
        <v>2795702</v>
      </c>
      <c r="D1289">
        <v>860</v>
      </c>
    </row>
    <row r="1290" spans="1:4" x14ac:dyDescent="0.25">
      <c r="A1290" t="str">
        <f>T("   847190")</f>
        <v xml:space="preserve">   847190</v>
      </c>
      <c r="B129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290">
        <v>260402</v>
      </c>
      <c r="D1290">
        <v>3</v>
      </c>
    </row>
    <row r="1291" spans="1:4" x14ac:dyDescent="0.25">
      <c r="A1291" t="str">
        <f>T("   847439")</f>
        <v xml:space="preserve">   847439</v>
      </c>
      <c r="B129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291">
        <v>16543967</v>
      </c>
      <c r="D1291">
        <v>5265</v>
      </c>
    </row>
    <row r="1292" spans="1:4" x14ac:dyDescent="0.25">
      <c r="A1292" t="str">
        <f>T("   850780")</f>
        <v xml:space="preserve">   850780</v>
      </c>
      <c r="B1292" t="str">
        <f>T("   Accumulateurs électriques (sauf hors d'usage et autres qu'au plomb, au nickel-cadmium ou au nickel-fer)")</f>
        <v xml:space="preserve">   Accumulateurs électriques (sauf hors d'usage et autres qu'au plomb, au nickel-cadmium ou au nickel-fer)</v>
      </c>
      <c r="C1292">
        <v>233847</v>
      </c>
      <c r="D1292">
        <v>70</v>
      </c>
    </row>
    <row r="1293" spans="1:4" x14ac:dyDescent="0.25">
      <c r="A1293" t="str">
        <f>T("   860900")</f>
        <v xml:space="preserve">   860900</v>
      </c>
      <c r="B1293"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293">
        <v>6394272</v>
      </c>
      <c r="D1293">
        <v>7839</v>
      </c>
    </row>
    <row r="1294" spans="1:4" x14ac:dyDescent="0.25">
      <c r="A1294" t="str">
        <f>T("CH")</f>
        <v>CH</v>
      </c>
      <c r="B1294" t="str">
        <f>T("Suisse")</f>
        <v>Suisse</v>
      </c>
    </row>
    <row r="1295" spans="1:4" x14ac:dyDescent="0.25">
      <c r="A1295" t="str">
        <f>T("   ZZ_Total_Produit_SH6")</f>
        <v xml:space="preserve">   ZZ_Total_Produit_SH6</v>
      </c>
      <c r="B1295" t="str">
        <f>T("   ZZ_Total_Produit_SH6")</f>
        <v xml:space="preserve">   ZZ_Total_Produit_SH6</v>
      </c>
      <c r="C1295">
        <v>10680260397.441999</v>
      </c>
      <c r="D1295">
        <v>33699519.880000003</v>
      </c>
    </row>
    <row r="1296" spans="1:4" x14ac:dyDescent="0.25">
      <c r="A1296" t="str">
        <f>T("   020714")</f>
        <v xml:space="preserve">   020714</v>
      </c>
      <c r="B1296" t="str">
        <f>T("   Morceaux et abats comestibles de coqs et de poules [des espèces domestiques], congelés")</f>
        <v xml:space="preserve">   Morceaux et abats comestibles de coqs et de poules [des espèces domestiques], congelés</v>
      </c>
      <c r="C1296">
        <v>108850000</v>
      </c>
      <c r="D1296">
        <v>175000</v>
      </c>
    </row>
    <row r="1297" spans="1:4" x14ac:dyDescent="0.25">
      <c r="A1297" t="str">
        <f>T("   020727")</f>
        <v xml:space="preserve">   020727</v>
      </c>
      <c r="B1297" t="str">
        <f>T("   Morceaux et abats comestibles de dindes et dindons [des espèces domestiques], congelés")</f>
        <v xml:space="preserve">   Morceaux et abats comestibles de dindes et dindons [des espèces domestiques], congelés</v>
      </c>
      <c r="C1297">
        <v>279900000</v>
      </c>
      <c r="D1297">
        <v>438820</v>
      </c>
    </row>
    <row r="1298" spans="1:4" x14ac:dyDescent="0.25">
      <c r="A1298" t="str">
        <f>T("   030379")</f>
        <v xml:space="preserve">   030379</v>
      </c>
      <c r="B1298" t="s">
        <v>16</v>
      </c>
      <c r="C1298">
        <v>55575000</v>
      </c>
      <c r="D1298">
        <v>247000</v>
      </c>
    </row>
    <row r="1299" spans="1:4" x14ac:dyDescent="0.25">
      <c r="A1299" t="str">
        <f>T("   100630")</f>
        <v xml:space="preserve">   100630</v>
      </c>
      <c r="B1299" t="str">
        <f>T("   Riz semi-blanchi ou blanchi, même poli ou glacé")</f>
        <v xml:space="preserve">   Riz semi-blanchi ou blanchi, même poli ou glacé</v>
      </c>
      <c r="C1299">
        <v>4397907138.4420004</v>
      </c>
      <c r="D1299">
        <v>18465850</v>
      </c>
    </row>
    <row r="1300" spans="1:4" x14ac:dyDescent="0.25">
      <c r="A1300" t="str">
        <f>T("   100640")</f>
        <v xml:space="preserve">   100640</v>
      </c>
      <c r="B1300" t="str">
        <f>T("   Riz en brisures")</f>
        <v xml:space="preserve">   Riz en brisures</v>
      </c>
      <c r="C1300">
        <v>601560000</v>
      </c>
      <c r="D1300">
        <v>4010400</v>
      </c>
    </row>
    <row r="1301" spans="1:4" x14ac:dyDescent="0.25">
      <c r="A1301" t="str">
        <f>T("   160100")</f>
        <v xml:space="preserve">   160100</v>
      </c>
      <c r="B1301" t="str">
        <f>T("   Saucisses, saucissons et produits simil., de viande, d'abats ou de sang; préparations alimentaires à base de ces produits")</f>
        <v xml:space="preserve">   Saucisses, saucissons et produits simil., de viande, d'abats ou de sang; préparations alimentaires à base de ces produits</v>
      </c>
      <c r="C1301">
        <v>18750000</v>
      </c>
      <c r="D1301">
        <v>25000</v>
      </c>
    </row>
    <row r="1302" spans="1:4" x14ac:dyDescent="0.25">
      <c r="A1302" t="str">
        <f>T("   271011")</f>
        <v xml:space="preserve">   271011</v>
      </c>
      <c r="B130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302">
        <v>365589750</v>
      </c>
      <c r="D1302">
        <v>1051157</v>
      </c>
    </row>
    <row r="1303" spans="1:4" x14ac:dyDescent="0.25">
      <c r="A1303" t="str">
        <f>T("   292910")</f>
        <v xml:space="preserve">   292910</v>
      </c>
      <c r="B1303" t="str">
        <f>T("   Isocyanates")</f>
        <v xml:space="preserve">   Isocyanates</v>
      </c>
      <c r="C1303">
        <v>297693670</v>
      </c>
      <c r="D1303">
        <v>207500</v>
      </c>
    </row>
    <row r="1304" spans="1:4" x14ac:dyDescent="0.25">
      <c r="A1304" t="str">
        <f>T("   300410")</f>
        <v xml:space="preserve">   300410</v>
      </c>
      <c r="B1304" t="s">
        <v>78</v>
      </c>
      <c r="C1304">
        <v>266054</v>
      </c>
      <c r="D1304">
        <v>600</v>
      </c>
    </row>
    <row r="1305" spans="1:4" x14ac:dyDescent="0.25">
      <c r="A1305" t="str">
        <f>T("   300420")</f>
        <v xml:space="preserve">   300420</v>
      </c>
      <c r="B1305" t="s">
        <v>79</v>
      </c>
      <c r="C1305">
        <v>251120</v>
      </c>
      <c r="D1305">
        <v>132</v>
      </c>
    </row>
    <row r="1306" spans="1:4" x14ac:dyDescent="0.25">
      <c r="A1306" t="str">
        <f>T("   300590")</f>
        <v xml:space="preserve">   300590</v>
      </c>
      <c r="B1306" t="s">
        <v>85</v>
      </c>
      <c r="C1306">
        <v>372459</v>
      </c>
      <c r="D1306">
        <v>641</v>
      </c>
    </row>
    <row r="1307" spans="1:4" x14ac:dyDescent="0.25">
      <c r="A1307" t="str">
        <f>T("   330210")</f>
        <v xml:space="preserve">   330210</v>
      </c>
      <c r="B1307"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307">
        <v>9900546</v>
      </c>
      <c r="D1307">
        <v>3685</v>
      </c>
    </row>
    <row r="1308" spans="1:4" x14ac:dyDescent="0.25">
      <c r="A1308" t="str">
        <f>T("   330290")</f>
        <v xml:space="preserve">   330290</v>
      </c>
      <c r="B1308" t="s">
        <v>105</v>
      </c>
      <c r="C1308">
        <v>1617076</v>
      </c>
      <c r="D1308">
        <v>531</v>
      </c>
    </row>
    <row r="1309" spans="1:4" x14ac:dyDescent="0.25">
      <c r="A1309" t="str">
        <f>T("   330790")</f>
        <v xml:space="preserve">   330790</v>
      </c>
      <c r="B1309" t="str">
        <f>T("   Dépilatoires, autres produits de parfumerie ou de toilette préparés et autres préparations cosmétiques, n.d.a.")</f>
        <v xml:space="preserve">   Dépilatoires, autres produits de parfumerie ou de toilette préparés et autres préparations cosmétiques, n.d.a.</v>
      </c>
      <c r="C1309">
        <v>650056</v>
      </c>
      <c r="D1309">
        <v>2168</v>
      </c>
    </row>
    <row r="1310" spans="1:4" x14ac:dyDescent="0.25">
      <c r="A1310" t="str">
        <f>T("   370130")</f>
        <v xml:space="preserve">   370130</v>
      </c>
      <c r="B1310" t="str">
        <f>T("   Plaques et films plans, photographiques, sensibilisés, non impressionnés, dont la dimension d'au moins un côté &gt; 255 mm")</f>
        <v xml:space="preserve">   Plaques et films plans, photographiques, sensibilisés, non impressionnés, dont la dimension d'au moins un côté &gt; 255 mm</v>
      </c>
      <c r="C1310">
        <v>873157</v>
      </c>
      <c r="D1310">
        <v>6</v>
      </c>
    </row>
    <row r="1311" spans="1:4" x14ac:dyDescent="0.25">
      <c r="A1311" t="str">
        <f>T("   370510")</f>
        <v xml:space="preserve">   370510</v>
      </c>
      <c r="B1311"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1311">
        <v>1608414</v>
      </c>
      <c r="D1311">
        <v>385</v>
      </c>
    </row>
    <row r="1312" spans="1:4" x14ac:dyDescent="0.25">
      <c r="A1312" t="str">
        <f>T("   370790")</f>
        <v xml:space="preserve">   370790</v>
      </c>
      <c r="B1312" t="s">
        <v>124</v>
      </c>
      <c r="C1312">
        <v>2631243</v>
      </c>
      <c r="D1312">
        <v>4659</v>
      </c>
    </row>
    <row r="1313" spans="1:4" x14ac:dyDescent="0.25">
      <c r="A1313" t="str">
        <f>T("   382200")</f>
        <v xml:space="preserve">   382200</v>
      </c>
      <c r="B1313" t="s">
        <v>133</v>
      </c>
      <c r="C1313">
        <v>12362150</v>
      </c>
      <c r="D1313">
        <v>535.79999999999995</v>
      </c>
    </row>
    <row r="1314" spans="1:4" x14ac:dyDescent="0.25">
      <c r="A1314" t="str">
        <f>T("   390720")</f>
        <v xml:space="preserve">   390720</v>
      </c>
      <c r="B1314" t="str">
        <f>T("   Polyéthers, sous formes primaires (à l'excl. des polyacétals)")</f>
        <v xml:space="preserve">   Polyéthers, sous formes primaires (à l'excl. des polyacétals)</v>
      </c>
      <c r="C1314">
        <v>282764676</v>
      </c>
      <c r="D1314">
        <v>243500</v>
      </c>
    </row>
    <row r="1315" spans="1:4" x14ac:dyDescent="0.25">
      <c r="A1315" t="str">
        <f>T("   392310")</f>
        <v xml:space="preserve">   392310</v>
      </c>
      <c r="B1315" t="str">
        <f>T("   Boîtes, caisses, casiers et articles simil. pour le transport ou l'emballage, en matières plastiques")</f>
        <v xml:space="preserve">   Boîtes, caisses, casiers et articles simil. pour le transport ou l'emballage, en matières plastiques</v>
      </c>
      <c r="C1315">
        <v>132300</v>
      </c>
      <c r="D1315">
        <v>116</v>
      </c>
    </row>
    <row r="1316" spans="1:4" x14ac:dyDescent="0.25">
      <c r="A1316" t="str">
        <f>T("   392490")</f>
        <v xml:space="preserve">   392490</v>
      </c>
      <c r="B1316" t="s">
        <v>157</v>
      </c>
      <c r="C1316">
        <v>15743</v>
      </c>
      <c r="D1316">
        <v>23</v>
      </c>
    </row>
    <row r="1317" spans="1:4" x14ac:dyDescent="0.25">
      <c r="A1317" t="str">
        <f>T("   400129")</f>
        <v xml:space="preserve">   400129</v>
      </c>
      <c r="B1317" t="str">
        <f>T("   Caoutchouc naturel, sous formes primaires ou en plaques, feuilles ou bandes (à l'excl. du latex de caoutchouc naturel, même prévulcanisé, des produits sous forme de feuilles fumées ainsi que des caoutchoucs techniquement spécifiés [TSNR])")</f>
        <v xml:space="preserve">   Caoutchouc naturel, sous formes primaires ou en plaques, feuilles ou bandes (à l'excl. du latex de caoutchouc naturel, même prévulcanisé, des produits sous forme de feuilles fumées ainsi que des caoutchoucs techniquement spécifiés [TSNR])</v>
      </c>
      <c r="C1317">
        <v>200000</v>
      </c>
      <c r="D1317">
        <v>13.7</v>
      </c>
    </row>
    <row r="1318" spans="1:4" x14ac:dyDescent="0.25">
      <c r="A1318" t="str">
        <f>T("   401110")</f>
        <v xml:space="preserve">   401110</v>
      </c>
      <c r="B131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318">
        <v>33730409</v>
      </c>
      <c r="D1318">
        <v>9621</v>
      </c>
    </row>
    <row r="1319" spans="1:4" x14ac:dyDescent="0.25">
      <c r="A1319" t="str">
        <f>T("   401120")</f>
        <v xml:space="preserve">   401120</v>
      </c>
      <c r="B131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319">
        <v>17149759</v>
      </c>
      <c r="D1319">
        <v>4256</v>
      </c>
    </row>
    <row r="1320" spans="1:4" x14ac:dyDescent="0.25">
      <c r="A1320" t="str">
        <f>T("   401220")</f>
        <v xml:space="preserve">   401220</v>
      </c>
      <c r="B1320" t="str">
        <f>T("   Pneumatiques usagés, en caoutchouc")</f>
        <v xml:space="preserve">   Pneumatiques usagés, en caoutchouc</v>
      </c>
      <c r="C1320">
        <v>6387570</v>
      </c>
      <c r="D1320">
        <v>42760</v>
      </c>
    </row>
    <row r="1321" spans="1:4" x14ac:dyDescent="0.25">
      <c r="A1321" t="str">
        <f>T("   401310")</f>
        <v xml:space="preserve">   401310</v>
      </c>
      <c r="B132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321">
        <v>737000</v>
      </c>
      <c r="D1321">
        <v>6180</v>
      </c>
    </row>
    <row r="1322" spans="1:4" x14ac:dyDescent="0.25">
      <c r="A1322" t="str">
        <f>T("   401390")</f>
        <v xml:space="preserve">   401390</v>
      </c>
      <c r="B1322"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322">
        <v>400136</v>
      </c>
      <c r="D1322">
        <v>4000</v>
      </c>
    </row>
    <row r="1323" spans="1:4" x14ac:dyDescent="0.25">
      <c r="A1323" t="str">
        <f>T("   401511")</f>
        <v xml:space="preserve">   401511</v>
      </c>
      <c r="B1323" t="str">
        <f>T("   Gants en caoutchouc vulcanisé non durci, pour la chirurgie")</f>
        <v xml:space="preserve">   Gants en caoutchouc vulcanisé non durci, pour la chirurgie</v>
      </c>
      <c r="C1323">
        <v>70188</v>
      </c>
      <c r="D1323">
        <v>120</v>
      </c>
    </row>
    <row r="1324" spans="1:4" x14ac:dyDescent="0.25">
      <c r="A1324" t="str">
        <f>T("   401699")</f>
        <v xml:space="preserve">   401699</v>
      </c>
      <c r="B1324" t="str">
        <f>T("   OUVRAGES EN CAOUTCHOUC VULCANISÉ NON-DURCI, N.D.A.")</f>
        <v xml:space="preserve">   OUVRAGES EN CAOUTCHOUC VULCANISÉ NON-DURCI, N.D.A.</v>
      </c>
      <c r="C1324">
        <v>61004</v>
      </c>
      <c r="D1324">
        <v>2.5</v>
      </c>
    </row>
    <row r="1325" spans="1:4" x14ac:dyDescent="0.25">
      <c r="A1325" t="str">
        <f>T("   480257")</f>
        <v xml:space="preserve">   480257</v>
      </c>
      <c r="B1325" t="s">
        <v>208</v>
      </c>
      <c r="C1325">
        <v>952454</v>
      </c>
      <c r="D1325">
        <v>664</v>
      </c>
    </row>
    <row r="1326" spans="1:4" x14ac:dyDescent="0.25">
      <c r="A1326" t="str">
        <f>T("   482010")</f>
        <v xml:space="preserve">   482010</v>
      </c>
      <c r="B1326"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326">
        <v>4489999</v>
      </c>
      <c r="D1326">
        <v>283</v>
      </c>
    </row>
    <row r="1327" spans="1:4" x14ac:dyDescent="0.25">
      <c r="A1327" t="str">
        <f>T("   490199")</f>
        <v xml:space="preserve">   490199</v>
      </c>
      <c r="B132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327">
        <v>5265962</v>
      </c>
      <c r="D1327">
        <v>6714</v>
      </c>
    </row>
    <row r="1328" spans="1:4" x14ac:dyDescent="0.25">
      <c r="A1328" t="str">
        <f>T("   491199")</f>
        <v xml:space="preserve">   491199</v>
      </c>
      <c r="B1328" t="str">
        <f>T("   Imprimés, n.d.a.")</f>
        <v xml:space="preserve">   Imprimés, n.d.a.</v>
      </c>
      <c r="C1328">
        <v>195476</v>
      </c>
      <c r="D1328">
        <v>13</v>
      </c>
    </row>
    <row r="1329" spans="1:4" x14ac:dyDescent="0.25">
      <c r="A1329" t="str">
        <f>T("   610990")</f>
        <v xml:space="preserve">   610990</v>
      </c>
      <c r="B1329" t="str">
        <f>T("   T-shirts et maillots de corps, en bonneterie, de matières textiles (sauf de coton)")</f>
        <v xml:space="preserve">   T-shirts et maillots de corps, en bonneterie, de matières textiles (sauf de coton)</v>
      </c>
      <c r="C1329">
        <v>388987</v>
      </c>
      <c r="D1329">
        <v>155</v>
      </c>
    </row>
    <row r="1330" spans="1:4" x14ac:dyDescent="0.25">
      <c r="A1330" t="str">
        <f>T("   620590")</f>
        <v xml:space="preserve">   620590</v>
      </c>
      <c r="B133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330">
        <v>500000</v>
      </c>
      <c r="D1330">
        <v>700</v>
      </c>
    </row>
    <row r="1331" spans="1:4" x14ac:dyDescent="0.25">
      <c r="A1331" t="str">
        <f>T("   620690")</f>
        <v xml:space="preserve">   620690</v>
      </c>
      <c r="B1331" t="s">
        <v>291</v>
      </c>
      <c r="C1331">
        <v>825198</v>
      </c>
      <c r="D1331">
        <v>1178</v>
      </c>
    </row>
    <row r="1332" spans="1:4" x14ac:dyDescent="0.25">
      <c r="A1332" t="str">
        <f>T("   620891")</f>
        <v xml:space="preserve">   620891</v>
      </c>
      <c r="B1332" t="s">
        <v>292</v>
      </c>
      <c r="C1332">
        <v>10950000</v>
      </c>
      <c r="D1332">
        <v>18180</v>
      </c>
    </row>
    <row r="1333" spans="1:4" x14ac:dyDescent="0.25">
      <c r="A1333" t="str">
        <f>T("   630533")</f>
        <v xml:space="preserve">   630533</v>
      </c>
      <c r="B133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333">
        <v>1085191</v>
      </c>
      <c r="D1333">
        <v>60326</v>
      </c>
    </row>
    <row r="1334" spans="1:4" x14ac:dyDescent="0.25">
      <c r="A1334" t="str">
        <f>T("   640419")</f>
        <v xml:space="preserve">   640419</v>
      </c>
      <c r="B1334" t="s">
        <v>310</v>
      </c>
      <c r="C1334">
        <v>663695</v>
      </c>
      <c r="D1334">
        <v>100</v>
      </c>
    </row>
    <row r="1335" spans="1:4" x14ac:dyDescent="0.25">
      <c r="A1335" t="str">
        <f>T("   700721")</f>
        <v xml:space="preserve">   700721</v>
      </c>
      <c r="B1335" t="s">
        <v>346</v>
      </c>
      <c r="C1335">
        <v>146279</v>
      </c>
      <c r="D1335">
        <v>37</v>
      </c>
    </row>
    <row r="1336" spans="1:4" x14ac:dyDescent="0.25">
      <c r="A1336" t="str">
        <f>T("   711790")</f>
        <v xml:space="preserve">   711790</v>
      </c>
      <c r="B1336" t="str">
        <f>T("   Bijouterie de fantaisie (autre qu'en métaux communs, même argentés, dorés ou platinés)")</f>
        <v xml:space="preserve">   Bijouterie de fantaisie (autre qu'en métaux communs, même argentés, dorés ou platinés)</v>
      </c>
      <c r="C1336">
        <v>95300</v>
      </c>
      <c r="D1336">
        <v>13.7</v>
      </c>
    </row>
    <row r="1337" spans="1:4" x14ac:dyDescent="0.25">
      <c r="A1337" t="str">
        <f>T("   721049")</f>
        <v xml:space="preserve">   721049</v>
      </c>
      <c r="B133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337">
        <v>419788609</v>
      </c>
      <c r="D1337">
        <v>643516</v>
      </c>
    </row>
    <row r="1338" spans="1:4" x14ac:dyDescent="0.25">
      <c r="A1338" t="str">
        <f>T("   721399")</f>
        <v xml:space="preserve">   721399</v>
      </c>
      <c r="B1338" t="s">
        <v>365</v>
      </c>
      <c r="C1338">
        <v>1858115727</v>
      </c>
      <c r="D1338">
        <v>5809950</v>
      </c>
    </row>
    <row r="1339" spans="1:4" x14ac:dyDescent="0.25">
      <c r="A1339" t="str">
        <f>T("   721420")</f>
        <v xml:space="preserve">   721420</v>
      </c>
      <c r="B133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339">
        <v>253859906</v>
      </c>
      <c r="D1339">
        <v>698260</v>
      </c>
    </row>
    <row r="1340" spans="1:4" x14ac:dyDescent="0.25">
      <c r="A1340" t="str">
        <f>T("   721621")</f>
        <v xml:space="preserve">   721621</v>
      </c>
      <c r="B1340" t="str">
        <f>T("   PROFILÉS EN L EN FER OU ACIERS NON ALLIÉS, SIMPLEMENT LAMINÉS OU FILÉS À CHAUD, HAUTEUR &lt; 80 MM")</f>
        <v xml:space="preserve">   PROFILÉS EN L EN FER OU ACIERS NON ALLIÉS, SIMPLEMENT LAMINÉS OU FILÉS À CHAUD, HAUTEUR &lt; 80 MM</v>
      </c>
      <c r="C1340">
        <v>91394060</v>
      </c>
      <c r="D1340">
        <v>206522</v>
      </c>
    </row>
    <row r="1341" spans="1:4" x14ac:dyDescent="0.25">
      <c r="A1341" t="str">
        <f>T("   721622")</f>
        <v xml:space="preserve">   721622</v>
      </c>
      <c r="B1341" t="str">
        <f>T("   PROFILÉS EN T EN FER OU ACIERS NON ALLIÉS, SIMPLEMENT LAMINÉS OU FILÉS À CHAUD, HAUTEUR &lt; 80 MM")</f>
        <v xml:space="preserve">   PROFILÉS EN T EN FER OU ACIERS NON ALLIÉS, SIMPLEMENT LAMINÉS OU FILÉS À CHAUD, HAUTEUR &lt; 80 MM</v>
      </c>
      <c r="C1341">
        <v>7469120</v>
      </c>
      <c r="D1341">
        <v>29961</v>
      </c>
    </row>
    <row r="1342" spans="1:4" x14ac:dyDescent="0.25">
      <c r="A1342" t="str">
        <f>T("   721632")</f>
        <v xml:space="preserve">   721632</v>
      </c>
      <c r="B1342" t="str">
        <f>T("   PROFILÉS EN I, EN FER OU EN ACIERS NON-ALLIÉS, SIMPL. LAMINÉS OU FILÉS À CHAUD, D'UNE HAUTEUR &gt;= 80 MM")</f>
        <v xml:space="preserve">   PROFILÉS EN I, EN FER OU EN ACIERS NON-ALLIÉS, SIMPL. LAMINÉS OU FILÉS À CHAUD, D'UNE HAUTEUR &gt;= 80 MM</v>
      </c>
      <c r="C1342">
        <v>79836440</v>
      </c>
      <c r="D1342">
        <v>175691</v>
      </c>
    </row>
    <row r="1343" spans="1:4" x14ac:dyDescent="0.25">
      <c r="A1343" t="str">
        <f>T("   730410")</f>
        <v xml:space="preserve">   730410</v>
      </c>
      <c r="B1343" t="str">
        <f>T("   Tubes et tuyaux sans soudure, en fer (à l'excl. de la fonte) ou en acier, des types utilisés pour oléoducs ou gazoducs")</f>
        <v xml:space="preserve">   Tubes et tuyaux sans soudure, en fer (à l'excl. de la fonte) ou en acier, des types utilisés pour oléoducs ou gazoducs</v>
      </c>
      <c r="C1343">
        <v>77328738</v>
      </c>
      <c r="D1343">
        <v>158940</v>
      </c>
    </row>
    <row r="1344" spans="1:4" x14ac:dyDescent="0.25">
      <c r="A1344" t="str">
        <f>T("   730439")</f>
        <v xml:space="preserve">   730439</v>
      </c>
      <c r="B1344" t="s">
        <v>371</v>
      </c>
      <c r="C1344">
        <v>101457600</v>
      </c>
      <c r="D1344">
        <v>234000</v>
      </c>
    </row>
    <row r="1345" spans="1:4" x14ac:dyDescent="0.25">
      <c r="A1345" t="str">
        <f>T("   731449")</f>
        <v xml:space="preserve">   731449</v>
      </c>
      <c r="B1345"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1345">
        <v>51811224</v>
      </c>
      <c r="D1345">
        <v>37737</v>
      </c>
    </row>
    <row r="1346" spans="1:4" x14ac:dyDescent="0.25">
      <c r="A1346" t="str">
        <f>T("   732399")</f>
        <v xml:space="preserve">   732399</v>
      </c>
      <c r="B1346" t="s">
        <v>390</v>
      </c>
      <c r="C1346">
        <v>1524768</v>
      </c>
      <c r="D1346">
        <v>1070</v>
      </c>
    </row>
    <row r="1347" spans="1:4" x14ac:dyDescent="0.25">
      <c r="A1347" t="str">
        <f>T("   760612")</f>
        <v xml:space="preserve">   760612</v>
      </c>
      <c r="B1347"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1347">
        <v>73282395</v>
      </c>
      <c r="D1347">
        <v>51513</v>
      </c>
    </row>
    <row r="1348" spans="1:4" x14ac:dyDescent="0.25">
      <c r="A1348" t="str">
        <f>T("   830210")</f>
        <v xml:space="preserve">   830210</v>
      </c>
      <c r="B1348" t="str">
        <f>T("   Charnières de tous genres, y.c. les paumelles et pentures, en métaux communs")</f>
        <v xml:space="preserve">   Charnières de tous genres, y.c. les paumelles et pentures, en métaux communs</v>
      </c>
      <c r="C1348">
        <v>166665</v>
      </c>
      <c r="D1348">
        <v>10</v>
      </c>
    </row>
    <row r="1349" spans="1:4" x14ac:dyDescent="0.25">
      <c r="A1349" t="str">
        <f>T("   841360")</f>
        <v xml:space="preserve">   841360</v>
      </c>
      <c r="B1349" t="s">
        <v>418</v>
      </c>
      <c r="C1349">
        <v>92677</v>
      </c>
      <c r="D1349">
        <v>50</v>
      </c>
    </row>
    <row r="1350" spans="1:4" x14ac:dyDescent="0.25">
      <c r="A1350" t="str">
        <f>T("   841370")</f>
        <v xml:space="preserve">   841370</v>
      </c>
      <c r="B1350" t="s">
        <v>419</v>
      </c>
      <c r="C1350">
        <v>2455191</v>
      </c>
      <c r="D1350">
        <v>50</v>
      </c>
    </row>
    <row r="1351" spans="1:4" x14ac:dyDescent="0.25">
      <c r="A1351" t="str">
        <f>T("   841391")</f>
        <v xml:space="preserve">   841391</v>
      </c>
      <c r="B1351" t="str">
        <f>T("   Parties de pompes pour liquides, n.d.a.")</f>
        <v xml:space="preserve">   Parties de pompes pour liquides, n.d.a.</v>
      </c>
      <c r="C1351">
        <v>492718</v>
      </c>
      <c r="D1351">
        <v>0.6</v>
      </c>
    </row>
    <row r="1352" spans="1:4" x14ac:dyDescent="0.25">
      <c r="A1352" t="str">
        <f>T("   841440")</f>
        <v xml:space="preserve">   841440</v>
      </c>
      <c r="B1352" t="str">
        <f>T("   Compresseurs d'air montés sur châssis à roues et remorquables")</f>
        <v xml:space="preserve">   Compresseurs d'air montés sur châssis à roues et remorquables</v>
      </c>
      <c r="C1352">
        <v>327360</v>
      </c>
      <c r="D1352">
        <v>15</v>
      </c>
    </row>
    <row r="1353" spans="1:4" x14ac:dyDescent="0.25">
      <c r="A1353" t="str">
        <f>T("   841810")</f>
        <v xml:space="preserve">   841810</v>
      </c>
      <c r="B1353" t="str">
        <f>T("   Réfrigérateurs et congélateurs-conservateurs combinés, avec portes extérieures séparées")</f>
        <v xml:space="preserve">   Réfrigérateurs et congélateurs-conservateurs combinés, avec portes extérieures séparées</v>
      </c>
      <c r="C1353">
        <v>508369</v>
      </c>
      <c r="D1353">
        <v>575</v>
      </c>
    </row>
    <row r="1354" spans="1:4" x14ac:dyDescent="0.25">
      <c r="A1354" t="str">
        <f>T("   842199")</f>
        <v xml:space="preserve">   842199</v>
      </c>
      <c r="B1354" t="str">
        <f>T("   Parties d'appareils pour la filtration ou l'épuration des liquides ou des gaz, n.d.a.")</f>
        <v xml:space="preserve">   Parties d'appareils pour la filtration ou l'épuration des liquides ou des gaz, n.d.a.</v>
      </c>
      <c r="C1354">
        <v>2539201</v>
      </c>
      <c r="D1354">
        <v>26</v>
      </c>
    </row>
    <row r="1355" spans="1:4" x14ac:dyDescent="0.25">
      <c r="A1355" t="str">
        <f>T("   842211")</f>
        <v xml:space="preserve">   842211</v>
      </c>
      <c r="B1355" t="str">
        <f>T("   Machines à laver la vaisselle, de type ménager")</f>
        <v xml:space="preserve">   Machines à laver la vaisselle, de type ménager</v>
      </c>
      <c r="C1355">
        <v>1527075</v>
      </c>
      <c r="D1355">
        <v>2684</v>
      </c>
    </row>
    <row r="1356" spans="1:4" x14ac:dyDescent="0.25">
      <c r="A1356" t="str">
        <f>T("   842290")</f>
        <v xml:space="preserve">   842290</v>
      </c>
      <c r="B135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356">
        <v>492009</v>
      </c>
      <c r="D1356">
        <v>8.3000000000000007</v>
      </c>
    </row>
    <row r="1357" spans="1:4" x14ac:dyDescent="0.25">
      <c r="A1357" t="str">
        <f>T("   843110")</f>
        <v xml:space="preserve">   843110</v>
      </c>
      <c r="B1357" t="str">
        <f>T("   Parties de palans; treuils, cabestans; crics et vérins, n.d.a.")</f>
        <v xml:space="preserve">   Parties de palans; treuils, cabestans; crics et vérins, n.d.a.</v>
      </c>
      <c r="C1357">
        <v>90621</v>
      </c>
      <c r="D1357">
        <v>64</v>
      </c>
    </row>
    <row r="1358" spans="1:4" x14ac:dyDescent="0.25">
      <c r="A1358" t="str">
        <f>T("   843149")</f>
        <v xml:space="preserve">   843149</v>
      </c>
      <c r="B1358" t="str">
        <f>T("   Parties de machines et appareils du n° 8426, 8429 ou 8430, n.d.a.")</f>
        <v xml:space="preserve">   Parties de machines et appareils du n° 8426, 8429 ou 8430, n.d.a.</v>
      </c>
      <c r="C1358">
        <v>7432519</v>
      </c>
      <c r="D1358">
        <v>1228</v>
      </c>
    </row>
    <row r="1359" spans="1:4" x14ac:dyDescent="0.25">
      <c r="A1359" t="str">
        <f>T("   844339")</f>
        <v xml:space="preserve">   844339</v>
      </c>
      <c r="B1359" t="s">
        <v>444</v>
      </c>
      <c r="C1359">
        <v>6799924</v>
      </c>
      <c r="D1359">
        <v>1693</v>
      </c>
    </row>
    <row r="1360" spans="1:4" x14ac:dyDescent="0.25">
      <c r="A1360" t="str">
        <f>T("   847130")</f>
        <v xml:space="preserve">   847130</v>
      </c>
      <c r="B136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360">
        <v>3878691</v>
      </c>
      <c r="D1360">
        <v>36</v>
      </c>
    </row>
    <row r="1361" spans="1:4" x14ac:dyDescent="0.25">
      <c r="A1361" t="str">
        <f>T("   847170")</f>
        <v xml:space="preserve">   847170</v>
      </c>
      <c r="B1361" t="str">
        <f>T("   UNITÉS DE MÉMOIRE POUR MACHINES AUTOMATIQUES DE TRAITEMENT DE L'INFORMATION")</f>
        <v xml:space="preserve">   UNITÉS DE MÉMOIRE POUR MACHINES AUTOMATIQUES DE TRAITEMENT DE L'INFORMATION</v>
      </c>
      <c r="C1361">
        <v>846844</v>
      </c>
      <c r="D1361">
        <v>9</v>
      </c>
    </row>
    <row r="1362" spans="1:4" x14ac:dyDescent="0.25">
      <c r="A1362" t="str">
        <f>T("   847180")</f>
        <v xml:space="preserve">   847180</v>
      </c>
      <c r="B136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362">
        <v>14432881</v>
      </c>
      <c r="D1362">
        <v>108</v>
      </c>
    </row>
    <row r="1363" spans="1:4" x14ac:dyDescent="0.25">
      <c r="A1363" t="str">
        <f>T("   847190")</f>
        <v xml:space="preserve">   847190</v>
      </c>
      <c r="B136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363">
        <v>3281897</v>
      </c>
      <c r="D1363">
        <v>5507.9</v>
      </c>
    </row>
    <row r="1364" spans="1:4" x14ac:dyDescent="0.25">
      <c r="A1364" t="str">
        <f>T("   847330")</f>
        <v xml:space="preserve">   847330</v>
      </c>
      <c r="B1364" t="str">
        <f>T("   Parties et accessoires pour machines automatiques de traitement de l'information ou pour autres machines du n° 8471, n.d.a.")</f>
        <v xml:space="preserve">   Parties et accessoires pour machines automatiques de traitement de l'information ou pour autres machines du n° 8471, n.d.a.</v>
      </c>
      <c r="C1364">
        <v>280876</v>
      </c>
      <c r="D1364">
        <v>2.8</v>
      </c>
    </row>
    <row r="1365" spans="1:4" x14ac:dyDescent="0.25">
      <c r="A1365" t="str">
        <f>T("   848490")</f>
        <v xml:space="preserve">   848490</v>
      </c>
      <c r="B1365" t="str">
        <f>T("   Jeux ou assortiments de joints de composition différente présentés en pochettes, enveloppes ou emballages analogues")</f>
        <v xml:space="preserve">   Jeux ou assortiments de joints de composition différente présentés en pochettes, enveloppes ou emballages analogues</v>
      </c>
      <c r="C1365">
        <v>2012813</v>
      </c>
      <c r="D1365">
        <v>332</v>
      </c>
    </row>
    <row r="1366" spans="1:4" x14ac:dyDescent="0.25">
      <c r="A1366" t="str">
        <f>T("   850440")</f>
        <v xml:space="preserve">   850440</v>
      </c>
      <c r="B1366" t="str">
        <f>T("   CONVERTISSEURS STATIQUES")</f>
        <v xml:space="preserve">   CONVERTISSEURS STATIQUES</v>
      </c>
      <c r="C1366">
        <v>32821979</v>
      </c>
      <c r="D1366">
        <v>12260</v>
      </c>
    </row>
    <row r="1367" spans="1:4" x14ac:dyDescent="0.25">
      <c r="A1367" t="str">
        <f>T("   850490")</f>
        <v xml:space="preserve">   850490</v>
      </c>
      <c r="B1367" t="str">
        <f>T("   Parties de transformateurs, de bobines de réactance et selfs n.d.a.")</f>
        <v xml:space="preserve">   Parties de transformateurs, de bobines de réactance et selfs n.d.a.</v>
      </c>
      <c r="C1367">
        <v>7812523</v>
      </c>
      <c r="D1367">
        <v>12985</v>
      </c>
    </row>
    <row r="1368" spans="1:4" x14ac:dyDescent="0.25">
      <c r="A1368" t="str">
        <f>T("   850780")</f>
        <v xml:space="preserve">   850780</v>
      </c>
      <c r="B1368" t="str">
        <f>T("   Accumulateurs électriques (sauf hors d'usage et autres qu'au plomb, au nickel-cadmium ou au nickel-fer)")</f>
        <v xml:space="preserve">   Accumulateurs électriques (sauf hors d'usage et autres qu'au plomb, au nickel-cadmium ou au nickel-fer)</v>
      </c>
      <c r="C1368">
        <v>57724</v>
      </c>
      <c r="D1368">
        <v>1</v>
      </c>
    </row>
    <row r="1369" spans="1:4" x14ac:dyDescent="0.25">
      <c r="A1369" t="str">
        <f>T("   851110")</f>
        <v xml:space="preserve">   851110</v>
      </c>
      <c r="B1369" t="str">
        <f>T("   Bougies d'allumage pour moteurs à allumage par étincelles ou par compression")</f>
        <v xml:space="preserve">   Bougies d'allumage pour moteurs à allumage par étincelles ou par compression</v>
      </c>
      <c r="C1369">
        <v>790432</v>
      </c>
      <c r="D1369">
        <v>18</v>
      </c>
    </row>
    <row r="1370" spans="1:4" x14ac:dyDescent="0.25">
      <c r="A1370" t="str">
        <f>T("   851719")</f>
        <v xml:space="preserve">   851719</v>
      </c>
      <c r="B1370"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1370">
        <v>1491653</v>
      </c>
      <c r="D1370">
        <v>2624</v>
      </c>
    </row>
    <row r="1371" spans="1:4" x14ac:dyDescent="0.25">
      <c r="A1371" t="str">
        <f>T("   851762")</f>
        <v xml:space="preserve">   851762</v>
      </c>
      <c r="B1371" t="s">
        <v>480</v>
      </c>
      <c r="C1371">
        <v>688092</v>
      </c>
      <c r="D1371">
        <v>18</v>
      </c>
    </row>
    <row r="1372" spans="1:4" x14ac:dyDescent="0.25">
      <c r="A1372" t="str">
        <f>T("   851769")</f>
        <v xml:space="preserve">   851769</v>
      </c>
      <c r="B1372" t="s">
        <v>481</v>
      </c>
      <c r="C1372">
        <v>156175849</v>
      </c>
      <c r="D1372">
        <v>1103</v>
      </c>
    </row>
    <row r="1373" spans="1:4" x14ac:dyDescent="0.25">
      <c r="A1373" t="str">
        <f>T("   851770")</f>
        <v xml:space="preserve">   851770</v>
      </c>
      <c r="B1373"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1373">
        <v>27120011</v>
      </c>
      <c r="D1373">
        <v>98.88</v>
      </c>
    </row>
    <row r="1374" spans="1:4" x14ac:dyDescent="0.25">
      <c r="A1374" t="str">
        <f>T("   851780")</f>
        <v xml:space="preserve">   851780</v>
      </c>
      <c r="B1374" t="s">
        <v>482</v>
      </c>
      <c r="C1374">
        <v>41687451</v>
      </c>
      <c r="D1374">
        <v>236</v>
      </c>
    </row>
    <row r="1375" spans="1:4" x14ac:dyDescent="0.25">
      <c r="A1375" t="str">
        <f>T("   852359")</f>
        <v xml:space="preserve">   852359</v>
      </c>
      <c r="B1375" t="s">
        <v>489</v>
      </c>
      <c r="C1375">
        <v>2474094</v>
      </c>
      <c r="D1375">
        <v>19</v>
      </c>
    </row>
    <row r="1376" spans="1:4" x14ac:dyDescent="0.25">
      <c r="A1376" t="str">
        <f>T("   852380")</f>
        <v xml:space="preserve">   852380</v>
      </c>
      <c r="B1376" t="s">
        <v>490</v>
      </c>
      <c r="C1376">
        <v>7827158</v>
      </c>
      <c r="D1376">
        <v>59</v>
      </c>
    </row>
    <row r="1377" spans="1:4" x14ac:dyDescent="0.25">
      <c r="A1377" t="str">
        <f>T("   852692")</f>
        <v xml:space="preserve">   852692</v>
      </c>
      <c r="B1377" t="str">
        <f>T("   Appareils de radiotélécommande")</f>
        <v xml:space="preserve">   Appareils de radiotélécommande</v>
      </c>
      <c r="C1377">
        <v>1678602</v>
      </c>
      <c r="D1377">
        <v>24</v>
      </c>
    </row>
    <row r="1378" spans="1:4" x14ac:dyDescent="0.25">
      <c r="A1378" t="str">
        <f>T("   852841")</f>
        <v xml:space="preserve">   852841</v>
      </c>
      <c r="B1378" t="str">
        <f>T("   MONITEURS À TUBE CATHODIQUE DES TYPES EXCLUSIVEMENT OU PRINCIPALEMENT DESTINÉS À UNE MACHINE AUTOMATIQUE DE TRAITEMENT DE L'INFORMATION DU N° 8471")</f>
        <v xml:space="preserve">   MONITEURS À TUBE CATHODIQUE DES TYPES EXCLUSIVEMENT OU PRINCIPALEMENT DESTINÉS À UNE MACHINE AUTOMATIQUE DE TRAITEMENT DE L'INFORMATION DU N° 8471</v>
      </c>
      <c r="C1378">
        <v>426375</v>
      </c>
      <c r="D1378">
        <v>220</v>
      </c>
    </row>
    <row r="1379" spans="1:4" x14ac:dyDescent="0.25">
      <c r="A1379" t="str">
        <f>T("   852859")</f>
        <v xml:space="preserve">   852859</v>
      </c>
      <c r="B1379"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1379">
        <v>540511</v>
      </c>
      <c r="D1379">
        <v>5</v>
      </c>
    </row>
    <row r="1380" spans="1:4" x14ac:dyDescent="0.25">
      <c r="A1380" t="str">
        <f>T("   852990")</f>
        <v xml:space="preserve">   852990</v>
      </c>
      <c r="B1380" t="s">
        <v>496</v>
      </c>
      <c r="C1380">
        <v>76020</v>
      </c>
      <c r="D1380">
        <v>10</v>
      </c>
    </row>
    <row r="1381" spans="1:4" x14ac:dyDescent="0.25">
      <c r="A1381" t="str">
        <f>T("   853650")</f>
        <v xml:space="preserve">   853650</v>
      </c>
      <c r="B1381" t="str">
        <f>T("   Interrupteurs, sectionneurs et commutateurs, pour une tension &lt;= 1.000 V (autres que relais et disjoncteurs)")</f>
        <v xml:space="preserve">   Interrupteurs, sectionneurs et commutateurs, pour une tension &lt;= 1.000 V (autres que relais et disjoncteurs)</v>
      </c>
      <c r="C1381">
        <v>650994</v>
      </c>
      <c r="D1381">
        <v>2</v>
      </c>
    </row>
    <row r="1382" spans="1:4" x14ac:dyDescent="0.25">
      <c r="A1382" t="str">
        <f>T("   853669")</f>
        <v xml:space="preserve">   853669</v>
      </c>
      <c r="B1382" t="str">
        <f>T("   Fiches et prises de courant, pour une tension &lt;= 1.000 V (sauf douilles pour lampes)")</f>
        <v xml:space="preserve">   Fiches et prises de courant, pour une tension &lt;= 1.000 V (sauf douilles pour lampes)</v>
      </c>
      <c r="C1382">
        <v>5736356</v>
      </c>
      <c r="D1382">
        <v>44</v>
      </c>
    </row>
    <row r="1383" spans="1:4" x14ac:dyDescent="0.25">
      <c r="A1383" t="str">
        <f>T("   854129")</f>
        <v xml:space="preserve">   854129</v>
      </c>
      <c r="B1383" t="str">
        <f>T("   Transistors à pouvoir de dissipation &gt;= 1 W (autres que phototransistors)")</f>
        <v xml:space="preserve">   Transistors à pouvoir de dissipation &gt;= 1 W (autres que phototransistors)</v>
      </c>
      <c r="C1383">
        <v>12463</v>
      </c>
      <c r="D1383">
        <v>1</v>
      </c>
    </row>
    <row r="1384" spans="1:4" x14ac:dyDescent="0.25">
      <c r="A1384" t="str">
        <f>T("   854239")</f>
        <v xml:space="preserve">   854239</v>
      </c>
      <c r="B1384" t="str">
        <f>T("   CIRCUITS INTÉGRÉS ÉLECTRONIQUES (À L'EXCL. DE CEUX UTILISÉS COMME PROCESSEURS, CONTRÔLEURS, MÉMOIRES ET AMPLIFICATEURS)")</f>
        <v xml:space="preserve">   CIRCUITS INTÉGRÉS ÉLECTRONIQUES (À L'EXCL. DE CEUX UTILISÉS COMME PROCESSEURS, CONTRÔLEURS, MÉMOIRES ET AMPLIFICATEURS)</v>
      </c>
      <c r="C1384">
        <v>183454</v>
      </c>
      <c r="D1384">
        <v>5</v>
      </c>
    </row>
    <row r="1385" spans="1:4" x14ac:dyDescent="0.25">
      <c r="A1385" t="str">
        <f>T("   870120")</f>
        <v xml:space="preserve">   870120</v>
      </c>
      <c r="B1385" t="str">
        <f>T("   Tracteurs routiers pour semi-remorques")</f>
        <v xml:space="preserve">   Tracteurs routiers pour semi-remorques</v>
      </c>
      <c r="C1385">
        <v>10000000</v>
      </c>
      <c r="D1385">
        <v>33520</v>
      </c>
    </row>
    <row r="1386" spans="1:4" x14ac:dyDescent="0.25">
      <c r="A1386" t="str">
        <f>T("   870210")</f>
        <v xml:space="preserve">   870210</v>
      </c>
      <c r="B1386" t="s">
        <v>503</v>
      </c>
      <c r="C1386">
        <v>9533467</v>
      </c>
      <c r="D1386">
        <v>25000</v>
      </c>
    </row>
    <row r="1387" spans="1:4" x14ac:dyDescent="0.25">
      <c r="A1387" t="str">
        <f>T("   870290")</f>
        <v xml:space="preserve">   870290</v>
      </c>
      <c r="B1387" t="s">
        <v>504</v>
      </c>
      <c r="C1387">
        <v>7221553</v>
      </c>
      <c r="D1387">
        <v>7990</v>
      </c>
    </row>
    <row r="1388" spans="1:4" x14ac:dyDescent="0.25">
      <c r="A1388" t="str">
        <f>T("   870322")</f>
        <v xml:space="preserve">   870322</v>
      </c>
      <c r="B1388" t="s">
        <v>506</v>
      </c>
      <c r="C1388">
        <v>178113051</v>
      </c>
      <c r="D1388">
        <v>124377</v>
      </c>
    </row>
    <row r="1389" spans="1:4" x14ac:dyDescent="0.25">
      <c r="A1389" t="str">
        <f>T("   870323")</f>
        <v xml:space="preserve">   870323</v>
      </c>
      <c r="B1389" t="s">
        <v>507</v>
      </c>
      <c r="C1389">
        <v>273520678</v>
      </c>
      <c r="D1389">
        <v>194853</v>
      </c>
    </row>
    <row r="1390" spans="1:4" x14ac:dyDescent="0.25">
      <c r="A1390" t="str">
        <f>T("   870324")</f>
        <v xml:space="preserve">   870324</v>
      </c>
      <c r="B1390" t="s">
        <v>508</v>
      </c>
      <c r="C1390">
        <v>16783757</v>
      </c>
      <c r="D1390">
        <v>14975</v>
      </c>
    </row>
    <row r="1391" spans="1:4" x14ac:dyDescent="0.25">
      <c r="A1391" t="str">
        <f>T("   870332")</f>
        <v xml:space="preserve">   870332</v>
      </c>
      <c r="B1391" t="s">
        <v>510</v>
      </c>
      <c r="C1391">
        <v>6762255</v>
      </c>
      <c r="D1391">
        <v>4996</v>
      </c>
    </row>
    <row r="1392" spans="1:4" x14ac:dyDescent="0.25">
      <c r="A1392" t="str">
        <f>T("   870333")</f>
        <v xml:space="preserve">   870333</v>
      </c>
      <c r="B1392" t="s">
        <v>511</v>
      </c>
      <c r="C1392">
        <v>3880555</v>
      </c>
      <c r="D1392">
        <v>2690</v>
      </c>
    </row>
    <row r="1393" spans="1:4" x14ac:dyDescent="0.25">
      <c r="A1393" t="str">
        <f>T("   870421")</f>
        <v xml:space="preserve">   870421</v>
      </c>
      <c r="B1393" t="s">
        <v>512</v>
      </c>
      <c r="C1393">
        <v>52097988</v>
      </c>
      <c r="D1393">
        <v>47042</v>
      </c>
    </row>
    <row r="1394" spans="1:4" x14ac:dyDescent="0.25">
      <c r="A1394" t="str">
        <f>T("   870422")</f>
        <v xml:space="preserve">   870422</v>
      </c>
      <c r="B1394" t="s">
        <v>513</v>
      </c>
      <c r="C1394">
        <v>9623828</v>
      </c>
      <c r="D1394">
        <v>17200</v>
      </c>
    </row>
    <row r="1395" spans="1:4" x14ac:dyDescent="0.25">
      <c r="A1395" t="str">
        <f>T("   870423")</f>
        <v xml:space="preserve">   870423</v>
      </c>
      <c r="B1395" t="s">
        <v>514</v>
      </c>
      <c r="C1395">
        <v>4211914</v>
      </c>
      <c r="D1395">
        <v>22640</v>
      </c>
    </row>
    <row r="1396" spans="1:4" x14ac:dyDescent="0.25">
      <c r="A1396" t="str">
        <f>T("   870431")</f>
        <v xml:space="preserve">   870431</v>
      </c>
      <c r="B1396" t="s">
        <v>515</v>
      </c>
      <c r="C1396">
        <v>22059000</v>
      </c>
      <c r="D1396">
        <v>24625</v>
      </c>
    </row>
    <row r="1397" spans="1:4" x14ac:dyDescent="0.25">
      <c r="A1397" t="str">
        <f>T("   870590")</f>
        <v xml:space="preserve">   870590</v>
      </c>
      <c r="B1397" t="s">
        <v>517</v>
      </c>
      <c r="C1397">
        <v>2055603</v>
      </c>
      <c r="D1397">
        <v>1350</v>
      </c>
    </row>
    <row r="1398" spans="1:4" x14ac:dyDescent="0.25">
      <c r="A1398" t="str">
        <f>T("   870830")</f>
        <v xml:space="preserve">   870830</v>
      </c>
      <c r="B1398"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1398">
        <v>385049</v>
      </c>
      <c r="D1398">
        <v>35</v>
      </c>
    </row>
    <row r="1399" spans="1:4" x14ac:dyDescent="0.25">
      <c r="A1399" t="str">
        <f>T("   871110")</f>
        <v xml:space="preserve">   871110</v>
      </c>
      <c r="B1399" t="str">
        <f>T("   Cyclomoteurs, à moteur à piston alternatif, cylindrée &lt;= 50 cm³, y.c. cycles à moteur auxiliaire")</f>
        <v xml:space="preserve">   Cyclomoteurs, à moteur à piston alternatif, cylindrée &lt;= 50 cm³, y.c. cycles à moteur auxiliaire</v>
      </c>
      <c r="C1399">
        <v>226000</v>
      </c>
      <c r="D1399">
        <v>137</v>
      </c>
    </row>
    <row r="1400" spans="1:4" x14ac:dyDescent="0.25">
      <c r="A1400" t="str">
        <f>T("   871120")</f>
        <v xml:space="preserve">   871120</v>
      </c>
      <c r="B1400" t="str">
        <f>T("   Motocycles à moteur à piston alternatif, cylindrée &gt; 50 cm³ mais &lt;= 250 cm³")</f>
        <v xml:space="preserve">   Motocycles à moteur à piston alternatif, cylindrée &gt; 50 cm³ mais &lt;= 250 cm³</v>
      </c>
      <c r="C1400">
        <v>960000</v>
      </c>
      <c r="D1400">
        <v>365</v>
      </c>
    </row>
    <row r="1401" spans="1:4" x14ac:dyDescent="0.25">
      <c r="A1401" t="str">
        <f>T("   871190")</f>
        <v xml:space="preserve">   871190</v>
      </c>
      <c r="B1401" t="str">
        <f>T("   Side-cars")</f>
        <v xml:space="preserve">   Side-cars</v>
      </c>
      <c r="C1401">
        <v>740000</v>
      </c>
      <c r="D1401">
        <v>872</v>
      </c>
    </row>
    <row r="1402" spans="1:4" x14ac:dyDescent="0.25">
      <c r="A1402" t="str">
        <f>T("   871640")</f>
        <v xml:space="preserve">   871640</v>
      </c>
      <c r="B140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402">
        <v>3555957</v>
      </c>
      <c r="D1402">
        <v>16450</v>
      </c>
    </row>
    <row r="1403" spans="1:4" x14ac:dyDescent="0.25">
      <c r="A1403" t="str">
        <f>T("   901819")</f>
        <v xml:space="preserve">   901819</v>
      </c>
      <c r="B1403" t="s">
        <v>527</v>
      </c>
      <c r="C1403">
        <v>9606960</v>
      </c>
      <c r="D1403">
        <v>136</v>
      </c>
    </row>
    <row r="1404" spans="1:4" x14ac:dyDescent="0.25">
      <c r="A1404" t="str">
        <f>T("   901839")</f>
        <v xml:space="preserve">   901839</v>
      </c>
      <c r="B1404"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1404">
        <v>11868526</v>
      </c>
      <c r="D1404">
        <v>540</v>
      </c>
    </row>
    <row r="1405" spans="1:4" x14ac:dyDescent="0.25">
      <c r="A1405" t="str">
        <f>T("   901890")</f>
        <v xml:space="preserve">   901890</v>
      </c>
      <c r="B1405" t="str">
        <f>T("   Instruments et appareils pour la médecine, la chirurgie ou l'art vétérinaire, n.d.a.")</f>
        <v xml:space="preserve">   Instruments et appareils pour la médecine, la chirurgie ou l'art vétérinaire, n.d.a.</v>
      </c>
      <c r="C1405">
        <v>12043436</v>
      </c>
      <c r="D1405">
        <v>1262</v>
      </c>
    </row>
    <row r="1406" spans="1:4" x14ac:dyDescent="0.25">
      <c r="A1406" t="str">
        <f>T("   902110")</f>
        <v xml:space="preserve">   902110</v>
      </c>
      <c r="B1406" t="str">
        <f>T("   Appareils d'orthopédie ou pour fractures")</f>
        <v xml:space="preserve">   Appareils d'orthopédie ou pour fractures</v>
      </c>
      <c r="C1406">
        <v>9710361</v>
      </c>
      <c r="D1406">
        <v>1277.7</v>
      </c>
    </row>
    <row r="1407" spans="1:4" x14ac:dyDescent="0.25">
      <c r="A1407" t="str">
        <f>T("   902214")</f>
        <v xml:space="preserve">   902214</v>
      </c>
      <c r="B1407"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1407">
        <v>843436</v>
      </c>
      <c r="D1407">
        <v>2</v>
      </c>
    </row>
    <row r="1408" spans="1:4" x14ac:dyDescent="0.25">
      <c r="A1408" t="str">
        <f>T("   902219")</f>
        <v xml:space="preserve">   902219</v>
      </c>
      <c r="B1408" t="str">
        <f>T("   Appareils à rayons X (à usage autre que médical, chirurgical, dentaire ou vétérinaire)")</f>
        <v xml:space="preserve">   Appareils à rayons X (à usage autre que médical, chirurgical, dentaire ou vétérinaire)</v>
      </c>
      <c r="C1408">
        <v>139621086</v>
      </c>
      <c r="D1408">
        <v>1530</v>
      </c>
    </row>
    <row r="1409" spans="1:4" x14ac:dyDescent="0.25">
      <c r="A1409" t="str">
        <f>T("   902610")</f>
        <v xml:space="preserve">   902610</v>
      </c>
      <c r="B1409"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409">
        <v>5641091</v>
      </c>
      <c r="D1409">
        <v>50</v>
      </c>
    </row>
    <row r="1410" spans="1:4" x14ac:dyDescent="0.25">
      <c r="A1410" t="str">
        <f>T("   940290")</f>
        <v xml:space="preserve">   940290</v>
      </c>
      <c r="B1410"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1410">
        <v>5848903</v>
      </c>
      <c r="D1410">
        <v>12059</v>
      </c>
    </row>
    <row r="1411" spans="1:4" x14ac:dyDescent="0.25">
      <c r="A1411" t="str">
        <f>T("   940310")</f>
        <v xml:space="preserve">   940310</v>
      </c>
      <c r="B1411" t="str">
        <f>T("   Meubles de bureau en métal (sauf sièges)")</f>
        <v xml:space="preserve">   Meubles de bureau en métal (sauf sièges)</v>
      </c>
      <c r="C1411">
        <v>567405</v>
      </c>
      <c r="D1411">
        <v>998</v>
      </c>
    </row>
    <row r="1412" spans="1:4" x14ac:dyDescent="0.25">
      <c r="A1412" t="str">
        <f>T("   940330")</f>
        <v xml:space="preserve">   940330</v>
      </c>
      <c r="B1412" t="str">
        <f>T("   Meubles de bureau en bois (sauf sièges)")</f>
        <v xml:space="preserve">   Meubles de bureau en bois (sauf sièges)</v>
      </c>
      <c r="C1412">
        <v>787808</v>
      </c>
      <c r="D1412">
        <v>10</v>
      </c>
    </row>
    <row r="1413" spans="1:4" x14ac:dyDescent="0.25">
      <c r="A1413" t="str">
        <f>T("   940350")</f>
        <v xml:space="preserve">   940350</v>
      </c>
      <c r="B1413" t="str">
        <f>T("   Meubles pour chambres à coucher, en bois (sauf sièges)")</f>
        <v xml:space="preserve">   Meubles pour chambres à coucher, en bois (sauf sièges)</v>
      </c>
      <c r="C1413">
        <v>863899</v>
      </c>
      <c r="D1413">
        <v>4067</v>
      </c>
    </row>
    <row r="1414" spans="1:4" x14ac:dyDescent="0.25">
      <c r="A1414" t="str">
        <f>T("   940360")</f>
        <v xml:space="preserve">   940360</v>
      </c>
      <c r="B1414" t="str">
        <f>T("   Meubles en bois (autres que pour bureaux, cuisines ou chambres à coucher et autres que sièges)")</f>
        <v xml:space="preserve">   Meubles en bois (autres que pour bureaux, cuisines ou chambres à coucher et autres que sièges)</v>
      </c>
      <c r="C1414">
        <v>3022013</v>
      </c>
      <c r="D1414">
        <v>6918</v>
      </c>
    </row>
    <row r="1415" spans="1:4" x14ac:dyDescent="0.25">
      <c r="A1415" t="str">
        <f>T("   940370")</f>
        <v xml:space="preserve">   940370</v>
      </c>
      <c r="B141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415">
        <v>2500000</v>
      </c>
      <c r="D1415">
        <v>8500</v>
      </c>
    </row>
    <row r="1416" spans="1:4" x14ac:dyDescent="0.25">
      <c r="A1416" t="str">
        <f>T("   950590")</f>
        <v xml:space="preserve">   950590</v>
      </c>
      <c r="B1416" t="str">
        <f>T("   Articles pour fêtes, carnaval ou autres divertissements, y.c. les articles de magie et articles-surprises, n.d.a.")</f>
        <v xml:space="preserve">   Articles pour fêtes, carnaval ou autres divertissements, y.c. les articles de magie et articles-surprises, n.d.a.</v>
      </c>
      <c r="C1416">
        <v>261000</v>
      </c>
      <c r="D1416">
        <v>735</v>
      </c>
    </row>
    <row r="1417" spans="1:4" x14ac:dyDescent="0.25">
      <c r="A1417" t="str">
        <f>T("CI")</f>
        <v>CI</v>
      </c>
      <c r="B1417" t="str">
        <f>T("Côte d'Ivoire")</f>
        <v>Côte d'Ivoire</v>
      </c>
    </row>
    <row r="1418" spans="1:4" x14ac:dyDescent="0.25">
      <c r="A1418" t="str">
        <f>T("   ZZ_Total_Produit_SH6")</f>
        <v xml:space="preserve">   ZZ_Total_Produit_SH6</v>
      </c>
      <c r="B1418" t="str">
        <f>T("   ZZ_Total_Produit_SH6")</f>
        <v xml:space="preserve">   ZZ_Total_Produit_SH6</v>
      </c>
      <c r="C1418">
        <v>20709251165.438999</v>
      </c>
      <c r="D1418">
        <v>39114899.299999997</v>
      </c>
    </row>
    <row r="1419" spans="1:4" x14ac:dyDescent="0.25">
      <c r="A1419" t="str">
        <f>T("   070190")</f>
        <v xml:space="preserve">   070190</v>
      </c>
      <c r="B1419" t="str">
        <f>T("   Pommes de terre, à l'état frais ou réfrigéré (à l'excl. des pommes de terre de semence)")</f>
        <v xml:space="preserve">   Pommes de terre, à l'état frais ou réfrigéré (à l'excl. des pommes de terre de semence)</v>
      </c>
      <c r="C1419">
        <v>1500000</v>
      </c>
      <c r="D1419">
        <v>10740</v>
      </c>
    </row>
    <row r="1420" spans="1:4" x14ac:dyDescent="0.25">
      <c r="A1420" t="str">
        <f>T("   070310")</f>
        <v xml:space="preserve">   070310</v>
      </c>
      <c r="B1420" t="str">
        <f>T("   Oignons et échalotes, à l'état frais ou réfrigéré")</f>
        <v xml:space="preserve">   Oignons et échalotes, à l'état frais ou réfrigéré</v>
      </c>
      <c r="C1420">
        <v>600000</v>
      </c>
      <c r="D1420">
        <v>11000</v>
      </c>
    </row>
    <row r="1421" spans="1:4" x14ac:dyDescent="0.25">
      <c r="A1421" t="str">
        <f>T("   080300")</f>
        <v xml:space="preserve">   080300</v>
      </c>
      <c r="B1421" t="str">
        <f>T("   Bananes, y.c. les plantains, fraîches ou sèches")</f>
        <v xml:space="preserve">   Bananes, y.c. les plantains, fraîches ou sèches</v>
      </c>
      <c r="C1421">
        <v>4802080</v>
      </c>
      <c r="D1421">
        <v>96000</v>
      </c>
    </row>
    <row r="1422" spans="1:4" x14ac:dyDescent="0.25">
      <c r="A1422" t="str">
        <f>T("   090190")</f>
        <v xml:space="preserve">   090190</v>
      </c>
      <c r="B1422" t="str">
        <f>T("   Coques et pellicules de café; succédanés du café contenant du café, quelles que soient les proportions du mélange")</f>
        <v xml:space="preserve">   Coques et pellicules de café; succédanés du café contenant du café, quelles que soient les proportions du mélange</v>
      </c>
      <c r="C1422">
        <v>1080497</v>
      </c>
      <c r="D1422">
        <v>14720</v>
      </c>
    </row>
    <row r="1423" spans="1:4" x14ac:dyDescent="0.25">
      <c r="A1423" t="str">
        <f>T("   100630")</f>
        <v xml:space="preserve">   100630</v>
      </c>
      <c r="B1423" t="str">
        <f>T("   Riz semi-blanchi ou blanchi, même poli ou glacé")</f>
        <v xml:space="preserve">   Riz semi-blanchi ou blanchi, même poli ou glacé</v>
      </c>
      <c r="C1423">
        <v>1383230582.3</v>
      </c>
      <c r="D1423">
        <v>5000000</v>
      </c>
    </row>
    <row r="1424" spans="1:4" x14ac:dyDescent="0.25">
      <c r="A1424" t="str">
        <f>T("   110100")</f>
        <v xml:space="preserve">   110100</v>
      </c>
      <c r="B1424" t="str">
        <f>T("   Farines de froment [blé] ou de méteil")</f>
        <v xml:space="preserve">   Farines de froment [blé] ou de méteil</v>
      </c>
      <c r="C1424">
        <v>23218559.451000001</v>
      </c>
      <c r="D1424">
        <v>71060</v>
      </c>
    </row>
    <row r="1425" spans="1:4" x14ac:dyDescent="0.25">
      <c r="A1425" t="str">
        <f>T("   151190")</f>
        <v xml:space="preserve">   151190</v>
      </c>
      <c r="B1425" t="str">
        <f>T("   Huile de palme et ses fractions, même raffinées, mais non chimiquement modifiées (à l'excl. de l'huile de palme brute)")</f>
        <v xml:space="preserve">   Huile de palme et ses fractions, même raffinées, mais non chimiquement modifiées (à l'excl. de l'huile de palme brute)</v>
      </c>
      <c r="C1425">
        <v>18616311.688000001</v>
      </c>
      <c r="D1425">
        <v>44000</v>
      </c>
    </row>
    <row r="1426" spans="1:4" x14ac:dyDescent="0.25">
      <c r="A1426" t="str">
        <f>T("   151710")</f>
        <v xml:space="preserve">   151710</v>
      </c>
      <c r="B1426" t="str">
        <f>T("   Margarine (à l'excl. de la margarine liquide)")</f>
        <v xml:space="preserve">   Margarine (à l'excl. de la margarine liquide)</v>
      </c>
      <c r="C1426">
        <v>17710218</v>
      </c>
      <c r="D1426">
        <v>37906</v>
      </c>
    </row>
    <row r="1427" spans="1:4" x14ac:dyDescent="0.25">
      <c r="A1427" t="str">
        <f>T("   170410")</f>
        <v xml:space="preserve">   170410</v>
      </c>
      <c r="B1427" t="str">
        <f>T("   Gommes à mâcher [chewing-gum], même enrobées de sucre")</f>
        <v xml:space="preserve">   Gommes à mâcher [chewing-gum], même enrobées de sucre</v>
      </c>
      <c r="C1427">
        <v>10486074</v>
      </c>
      <c r="D1427">
        <v>21312</v>
      </c>
    </row>
    <row r="1428" spans="1:4" x14ac:dyDescent="0.25">
      <c r="A1428" t="str">
        <f>T("   170490")</f>
        <v xml:space="preserve">   170490</v>
      </c>
      <c r="B1428" t="str">
        <f>T("   Sucreries sans cacao, y.c. le chocolat blanc (à l'excl. des gommes à mâcher)")</f>
        <v xml:space="preserve">   Sucreries sans cacao, y.c. le chocolat blanc (à l'excl. des gommes à mâcher)</v>
      </c>
      <c r="C1428">
        <v>13360000</v>
      </c>
      <c r="D1428">
        <v>61980</v>
      </c>
    </row>
    <row r="1429" spans="1:4" x14ac:dyDescent="0.25">
      <c r="A1429" t="str">
        <f>T("   190190")</f>
        <v xml:space="preserve">   190190</v>
      </c>
      <c r="B1429" t="s">
        <v>50</v>
      </c>
      <c r="C1429">
        <v>66982718</v>
      </c>
      <c r="D1429">
        <v>208771</v>
      </c>
    </row>
    <row r="1430" spans="1:4" x14ac:dyDescent="0.25">
      <c r="A1430" t="str">
        <f>T("   190219")</f>
        <v xml:space="preserve">   190219</v>
      </c>
      <c r="B1430" t="str">
        <f>T("   PÂTES ALIMENTAIRES NON-CUITES NI FARCIES NI AUTREMENT PRÉPARÉES, NE CONTENANT PAS D'OEUFS")</f>
        <v xml:space="preserve">   PÂTES ALIMENTAIRES NON-CUITES NI FARCIES NI AUTREMENT PRÉPARÉES, NE CONTENANT PAS D'OEUFS</v>
      </c>
      <c r="C1430">
        <v>338057184</v>
      </c>
      <c r="D1430">
        <v>898798</v>
      </c>
    </row>
    <row r="1431" spans="1:4" x14ac:dyDescent="0.25">
      <c r="A1431" t="str">
        <f>T("   210111")</f>
        <v xml:space="preserve">   210111</v>
      </c>
      <c r="B1431" t="str">
        <f>T("   Extraits, essences et concentrés de café")</f>
        <v xml:space="preserve">   Extraits, essences et concentrés de café</v>
      </c>
      <c r="C1431">
        <v>573500</v>
      </c>
      <c r="D1431">
        <v>122</v>
      </c>
    </row>
    <row r="1432" spans="1:4" x14ac:dyDescent="0.25">
      <c r="A1432" t="str">
        <f>T("   210390")</f>
        <v xml:space="preserve">   210390</v>
      </c>
      <c r="B143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432">
        <v>12502000</v>
      </c>
      <c r="D1432">
        <v>7049</v>
      </c>
    </row>
    <row r="1433" spans="1:4" x14ac:dyDescent="0.25">
      <c r="A1433" t="str">
        <f>T("   210410")</f>
        <v xml:space="preserve">   210410</v>
      </c>
      <c r="B1433" t="str">
        <f>T("   Préparations pour soupes, potages ou bouillons; soupes, potages ou bouillons préparés")</f>
        <v xml:space="preserve">   Préparations pour soupes, potages ou bouillons; soupes, potages ou bouillons préparés</v>
      </c>
      <c r="C1433">
        <v>17936251</v>
      </c>
      <c r="D1433">
        <v>67120</v>
      </c>
    </row>
    <row r="1434" spans="1:4" x14ac:dyDescent="0.25">
      <c r="A1434" t="str">
        <f>T("   220300")</f>
        <v xml:space="preserve">   220300</v>
      </c>
      <c r="B1434" t="str">
        <f>T("   Bières de malt")</f>
        <v xml:space="preserve">   Bières de malt</v>
      </c>
      <c r="C1434">
        <v>5497262</v>
      </c>
      <c r="D1434">
        <v>34730</v>
      </c>
    </row>
    <row r="1435" spans="1:4" x14ac:dyDescent="0.25">
      <c r="A1435" t="str">
        <f>T("   240220")</f>
        <v xml:space="preserve">   240220</v>
      </c>
      <c r="B1435" t="str">
        <f>T("   Cigarettes contenant du tabac")</f>
        <v xml:space="preserve">   Cigarettes contenant du tabac</v>
      </c>
      <c r="C1435">
        <v>116949535</v>
      </c>
      <c r="D1435">
        <v>37600</v>
      </c>
    </row>
    <row r="1436" spans="1:4" x14ac:dyDescent="0.25">
      <c r="A1436" t="str">
        <f>T("   271011")</f>
        <v xml:space="preserve">   271011</v>
      </c>
      <c r="B143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436">
        <v>522543708</v>
      </c>
      <c r="D1436">
        <v>1425145</v>
      </c>
    </row>
    <row r="1437" spans="1:4" x14ac:dyDescent="0.25">
      <c r="A1437" t="str">
        <f>T("   271019")</f>
        <v xml:space="preserve">   271019</v>
      </c>
      <c r="B1437" t="str">
        <f>T("   Huiles moyennes et préparations, de pétrole ou de minéraux bitumineux, n.d.a.")</f>
        <v xml:space="preserve">   Huiles moyennes et préparations, de pétrole ou de minéraux bitumineux, n.d.a.</v>
      </c>
      <c r="C1437">
        <v>6644067711</v>
      </c>
      <c r="D1437">
        <v>20003789</v>
      </c>
    </row>
    <row r="1438" spans="1:4" x14ac:dyDescent="0.25">
      <c r="A1438" t="str">
        <f>T("   271490")</f>
        <v xml:space="preserve">   271490</v>
      </c>
      <c r="B1438" t="str">
        <f>T("   Bitumes et asphaltes, naturels; asphaltites et roches asphaltiques")</f>
        <v xml:space="preserve">   Bitumes et asphaltes, naturels; asphaltites et roches asphaltiques</v>
      </c>
      <c r="C1438">
        <v>4660000</v>
      </c>
      <c r="D1438">
        <v>22520</v>
      </c>
    </row>
    <row r="1439" spans="1:4" x14ac:dyDescent="0.25">
      <c r="A1439" t="str">
        <f>T("   271500")</f>
        <v xml:space="preserve">   271500</v>
      </c>
      <c r="B1439"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439">
        <v>568423</v>
      </c>
      <c r="D1439">
        <v>1945</v>
      </c>
    </row>
    <row r="1440" spans="1:4" x14ac:dyDescent="0.25">
      <c r="A1440" t="str">
        <f>T("   280440")</f>
        <v xml:space="preserve">   280440</v>
      </c>
      <c r="B1440" t="str">
        <f>T("   Oxygène")</f>
        <v xml:space="preserve">   Oxygène</v>
      </c>
      <c r="C1440">
        <v>177600</v>
      </c>
      <c r="D1440">
        <v>3322</v>
      </c>
    </row>
    <row r="1441" spans="1:4" x14ac:dyDescent="0.25">
      <c r="A1441" t="str">
        <f>T("   290110")</f>
        <v xml:space="preserve">   290110</v>
      </c>
      <c r="B1441" t="str">
        <f>T("   Hydrocarbures acycliques, saturés")</f>
        <v xml:space="preserve">   Hydrocarbures acycliques, saturés</v>
      </c>
      <c r="C1441">
        <v>203430188</v>
      </c>
      <c r="D1441">
        <v>178631</v>
      </c>
    </row>
    <row r="1442" spans="1:4" x14ac:dyDescent="0.25">
      <c r="A1442" t="str">
        <f>T("   300320")</f>
        <v xml:space="preserve">   300320</v>
      </c>
      <c r="B1442" t="s">
        <v>76</v>
      </c>
      <c r="C1442">
        <v>1349788</v>
      </c>
      <c r="D1442">
        <v>212</v>
      </c>
    </row>
    <row r="1443" spans="1:4" x14ac:dyDescent="0.25">
      <c r="A1443" t="str">
        <f>T("   320417")</f>
        <v xml:space="preserve">   320417</v>
      </c>
      <c r="B1443" t="s">
        <v>96</v>
      </c>
      <c r="C1443">
        <v>15979872</v>
      </c>
      <c r="D1443">
        <v>7781</v>
      </c>
    </row>
    <row r="1444" spans="1:4" x14ac:dyDescent="0.25">
      <c r="A1444" t="str">
        <f>T("   320820")</f>
        <v xml:space="preserve">   320820</v>
      </c>
      <c r="B1444" t="s">
        <v>101</v>
      </c>
      <c r="C1444">
        <v>425878</v>
      </c>
      <c r="D1444">
        <v>1432</v>
      </c>
    </row>
    <row r="1445" spans="1:4" x14ac:dyDescent="0.25">
      <c r="A1445" t="str">
        <f>T("   320890")</f>
        <v xml:space="preserve">   320890</v>
      </c>
      <c r="B1445" t="s">
        <v>102</v>
      </c>
      <c r="C1445">
        <v>6038112</v>
      </c>
      <c r="D1445">
        <v>15492</v>
      </c>
    </row>
    <row r="1446" spans="1:4" x14ac:dyDescent="0.25">
      <c r="A1446" t="str">
        <f>T("   321290")</f>
        <v xml:space="preserve">   321290</v>
      </c>
      <c r="B1446" t="s">
        <v>103</v>
      </c>
      <c r="C1446">
        <v>1772405</v>
      </c>
      <c r="D1446">
        <v>988</v>
      </c>
    </row>
    <row r="1447" spans="1:4" x14ac:dyDescent="0.25">
      <c r="A1447" t="str">
        <f>T("   330300")</f>
        <v xml:space="preserve">   330300</v>
      </c>
      <c r="B1447"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447">
        <v>10757149</v>
      </c>
      <c r="D1447">
        <v>18995</v>
      </c>
    </row>
    <row r="1448" spans="1:4" x14ac:dyDescent="0.25">
      <c r="A1448" t="str">
        <f>T("   330491")</f>
        <v xml:space="preserve">   330491</v>
      </c>
      <c r="B1448"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448">
        <v>221301</v>
      </c>
      <c r="D1448">
        <v>675</v>
      </c>
    </row>
    <row r="1449" spans="1:4" x14ac:dyDescent="0.25">
      <c r="A1449" t="str">
        <f>T("   330499")</f>
        <v xml:space="preserve">   330499</v>
      </c>
      <c r="B1449" t="s">
        <v>106</v>
      </c>
      <c r="C1449">
        <v>72339500</v>
      </c>
      <c r="D1449">
        <v>132868</v>
      </c>
    </row>
    <row r="1450" spans="1:4" x14ac:dyDescent="0.25">
      <c r="A1450" t="str">
        <f>T("   330520")</f>
        <v xml:space="preserve">   330520</v>
      </c>
      <c r="B1450" t="str">
        <f>T("   Préparations pour l'ondulation ou le défrisage permanents")</f>
        <v xml:space="preserve">   Préparations pour l'ondulation ou le défrisage permanents</v>
      </c>
      <c r="C1450">
        <v>6420049</v>
      </c>
      <c r="D1450">
        <v>12428</v>
      </c>
    </row>
    <row r="1451" spans="1:4" x14ac:dyDescent="0.25">
      <c r="A1451" t="str">
        <f>T("   330590")</f>
        <v xml:space="preserve">   330590</v>
      </c>
      <c r="B1451"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451">
        <v>350046</v>
      </c>
      <c r="D1451">
        <v>540</v>
      </c>
    </row>
    <row r="1452" spans="1:4" x14ac:dyDescent="0.25">
      <c r="A1452" t="str">
        <f>T("   330610")</f>
        <v xml:space="preserve">   330610</v>
      </c>
      <c r="B1452" t="str">
        <f>T("   Dentifrices, préparés, même des types utilisés par les dentistes")</f>
        <v xml:space="preserve">   Dentifrices, préparés, même des types utilisés par les dentistes</v>
      </c>
      <c r="C1452">
        <v>15286492</v>
      </c>
      <c r="D1452">
        <v>4677</v>
      </c>
    </row>
    <row r="1453" spans="1:4" x14ac:dyDescent="0.25">
      <c r="A1453" t="str">
        <f>T("   340111")</f>
        <v xml:space="preserve">   340111</v>
      </c>
      <c r="B1453" t="s">
        <v>107</v>
      </c>
      <c r="C1453">
        <v>10932891</v>
      </c>
      <c r="D1453">
        <v>30268</v>
      </c>
    </row>
    <row r="1454" spans="1:4" x14ac:dyDescent="0.25">
      <c r="A1454" t="str">
        <f>T("   340119")</f>
        <v xml:space="preserve">   340119</v>
      </c>
      <c r="B1454" t="s">
        <v>108</v>
      </c>
      <c r="C1454">
        <v>1030086940</v>
      </c>
      <c r="D1454">
        <v>2453771</v>
      </c>
    </row>
    <row r="1455" spans="1:4" x14ac:dyDescent="0.25">
      <c r="A1455" t="str">
        <f>T("   340220")</f>
        <v xml:space="preserve">   340220</v>
      </c>
      <c r="B1455" t="s">
        <v>109</v>
      </c>
      <c r="C1455">
        <v>205355353</v>
      </c>
      <c r="D1455">
        <v>220103</v>
      </c>
    </row>
    <row r="1456" spans="1:4" x14ac:dyDescent="0.25">
      <c r="A1456" t="str">
        <f>T("   360500")</f>
        <v xml:space="preserve">   360500</v>
      </c>
      <c r="B1456" t="str">
        <f>T("   Allumettes (autres que les articles de pyrotechnie du n° 3604)")</f>
        <v xml:space="preserve">   Allumettes (autres que les articles de pyrotechnie du n° 3604)</v>
      </c>
      <c r="C1456">
        <v>32768939</v>
      </c>
      <c r="D1456">
        <v>19000</v>
      </c>
    </row>
    <row r="1457" spans="1:4" x14ac:dyDescent="0.25">
      <c r="A1457" t="str">
        <f>T("   380890")</f>
        <v xml:space="preserve">   380890</v>
      </c>
      <c r="B1457"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457">
        <v>5426757</v>
      </c>
      <c r="D1457">
        <v>14976</v>
      </c>
    </row>
    <row r="1458" spans="1:4" x14ac:dyDescent="0.25">
      <c r="A1458" t="str">
        <f>T("   380899")</f>
        <v xml:space="preserve">   380899</v>
      </c>
      <c r="B1458" t="s">
        <v>126</v>
      </c>
      <c r="C1458">
        <v>1233861</v>
      </c>
      <c r="D1458">
        <v>3600</v>
      </c>
    </row>
    <row r="1459" spans="1:4" x14ac:dyDescent="0.25">
      <c r="A1459" t="str">
        <f>T("   380991")</f>
        <v xml:space="preserve">   380991</v>
      </c>
      <c r="B1459" t="s">
        <v>128</v>
      </c>
      <c r="C1459">
        <v>5304127</v>
      </c>
      <c r="D1459">
        <v>17366</v>
      </c>
    </row>
    <row r="1460" spans="1:4" x14ac:dyDescent="0.25">
      <c r="A1460" t="str">
        <f>T("   382479")</f>
        <v xml:space="preserve">   382479</v>
      </c>
      <c r="B1460"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1460">
        <v>878355</v>
      </c>
      <c r="D1460">
        <v>50</v>
      </c>
    </row>
    <row r="1461" spans="1:4" x14ac:dyDescent="0.25">
      <c r="A1461" t="str">
        <f>T("   391723")</f>
        <v xml:space="preserve">   391723</v>
      </c>
      <c r="B1461" t="str">
        <f>T("   TUBES ET TUYAUX RIGIDES, EN POLYMÈRES DU CHLORURE DE VINYLE")</f>
        <v xml:space="preserve">   TUBES ET TUYAUX RIGIDES, EN POLYMÈRES DU CHLORURE DE VINYLE</v>
      </c>
      <c r="C1461">
        <v>140581217</v>
      </c>
      <c r="D1461">
        <v>213323</v>
      </c>
    </row>
    <row r="1462" spans="1:4" x14ac:dyDescent="0.25">
      <c r="A1462" t="str">
        <f>T("   391740")</f>
        <v xml:space="preserve">   391740</v>
      </c>
      <c r="B1462" t="str">
        <f>T("   Accessoires pour tubes ou tuyaux [joints, coudes, raccords, par exemple], en matières plastiques")</f>
        <v xml:space="preserve">   Accessoires pour tubes ou tuyaux [joints, coudes, raccords, par exemple], en matières plastiques</v>
      </c>
      <c r="C1462">
        <v>20819463</v>
      </c>
      <c r="D1462">
        <v>19904</v>
      </c>
    </row>
    <row r="1463" spans="1:4" x14ac:dyDescent="0.25">
      <c r="A1463" t="str">
        <f>T("   392310")</f>
        <v xml:space="preserve">   392310</v>
      </c>
      <c r="B1463" t="str">
        <f>T("   Boîtes, caisses, casiers et articles simil. pour le transport ou l'emballage, en matières plastiques")</f>
        <v xml:space="preserve">   Boîtes, caisses, casiers et articles simil. pour le transport ou l'emballage, en matières plastiques</v>
      </c>
      <c r="C1463">
        <v>20061218</v>
      </c>
      <c r="D1463">
        <v>10880</v>
      </c>
    </row>
    <row r="1464" spans="1:4" x14ac:dyDescent="0.25">
      <c r="A1464" t="str">
        <f>T("   392321")</f>
        <v xml:space="preserve">   392321</v>
      </c>
      <c r="B1464" t="str">
        <f>T("   Sacs, sachets, pochettes et cornets, en polymères de l'éthylène")</f>
        <v xml:space="preserve">   Sacs, sachets, pochettes et cornets, en polymères de l'éthylène</v>
      </c>
      <c r="C1464">
        <v>10795235</v>
      </c>
      <c r="D1464">
        <v>43196</v>
      </c>
    </row>
    <row r="1465" spans="1:4" x14ac:dyDescent="0.25">
      <c r="A1465" t="str">
        <f>T("   392329")</f>
        <v xml:space="preserve">   392329</v>
      </c>
      <c r="B1465" t="str">
        <f>T("   Sacs, sachets, pochettes et cornets, en matières plastiques (autres que les polymères de l'éthylène)")</f>
        <v xml:space="preserve">   Sacs, sachets, pochettes et cornets, en matières plastiques (autres que les polymères de l'éthylène)</v>
      </c>
      <c r="C1465">
        <v>283646428</v>
      </c>
      <c r="D1465">
        <v>195337</v>
      </c>
    </row>
    <row r="1466" spans="1:4" x14ac:dyDescent="0.25">
      <c r="A1466" t="str">
        <f>T("   392330")</f>
        <v xml:space="preserve">   392330</v>
      </c>
      <c r="B1466" t="str">
        <f>T("   Bonbonnes, bouteilles, flacons et articles simil. pour le transport ou l'emballage, en matières plastiques")</f>
        <v xml:space="preserve">   Bonbonnes, bouteilles, flacons et articles simil. pour le transport ou l'emballage, en matières plastiques</v>
      </c>
      <c r="C1466">
        <v>42189628</v>
      </c>
      <c r="D1466">
        <v>24379</v>
      </c>
    </row>
    <row r="1467" spans="1:4" x14ac:dyDescent="0.25">
      <c r="A1467" t="str">
        <f>T("   392410")</f>
        <v xml:space="preserve">   392410</v>
      </c>
      <c r="B1467" t="str">
        <f>T("   Vaisselle et autres articles pour le service de la table ou de la cuisine, en matières plastiques")</f>
        <v xml:space="preserve">   Vaisselle et autres articles pour le service de la table ou de la cuisine, en matières plastiques</v>
      </c>
      <c r="C1467">
        <v>62169</v>
      </c>
      <c r="D1467">
        <v>17</v>
      </c>
    </row>
    <row r="1468" spans="1:4" x14ac:dyDescent="0.25">
      <c r="A1468" t="str">
        <f>T("   392490")</f>
        <v xml:space="preserve">   392490</v>
      </c>
      <c r="B1468" t="s">
        <v>157</v>
      </c>
      <c r="C1468">
        <v>97967248</v>
      </c>
      <c r="D1468">
        <v>60411</v>
      </c>
    </row>
    <row r="1469" spans="1:4" x14ac:dyDescent="0.25">
      <c r="A1469" t="str">
        <f>T("   420222")</f>
        <v xml:space="preserve">   420222</v>
      </c>
      <c r="B1469"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469">
        <v>99910</v>
      </c>
      <c r="D1469">
        <v>31</v>
      </c>
    </row>
    <row r="1470" spans="1:4" x14ac:dyDescent="0.25">
      <c r="A1470" t="str">
        <f>T("   441219")</f>
        <v xml:space="preserve">   441219</v>
      </c>
      <c r="B1470" t="s">
        <v>193</v>
      </c>
      <c r="C1470">
        <v>83453938</v>
      </c>
      <c r="D1470">
        <v>163376</v>
      </c>
    </row>
    <row r="1471" spans="1:4" x14ac:dyDescent="0.25">
      <c r="A1471" t="str">
        <f>T("   441231")</f>
        <v xml:space="preserve">   441231</v>
      </c>
      <c r="B1471" t="s">
        <v>195</v>
      </c>
      <c r="C1471">
        <v>146566451</v>
      </c>
      <c r="D1471">
        <v>471330</v>
      </c>
    </row>
    <row r="1472" spans="1:4" x14ac:dyDescent="0.25">
      <c r="A1472" t="str">
        <f>T("   441239")</f>
        <v xml:space="preserve">   441239</v>
      </c>
      <c r="B1472" t="s">
        <v>197</v>
      </c>
      <c r="C1472">
        <v>19635055</v>
      </c>
      <c r="D1472">
        <v>108000</v>
      </c>
    </row>
    <row r="1473" spans="1:4" x14ac:dyDescent="0.25">
      <c r="A1473" t="str">
        <f>T("   441299")</f>
        <v xml:space="preserve">   441299</v>
      </c>
      <c r="B1473" t="s">
        <v>198</v>
      </c>
      <c r="C1473">
        <v>65869730</v>
      </c>
      <c r="D1473">
        <v>238934</v>
      </c>
    </row>
    <row r="1474" spans="1:4" x14ac:dyDescent="0.25">
      <c r="A1474" t="str">
        <f>T("   442090")</f>
        <v xml:space="preserve">   442090</v>
      </c>
      <c r="B1474" t="s">
        <v>202</v>
      </c>
      <c r="C1474">
        <v>52649</v>
      </c>
      <c r="D1474">
        <v>111</v>
      </c>
    </row>
    <row r="1475" spans="1:4" x14ac:dyDescent="0.25">
      <c r="A1475" t="str">
        <f>T("   442190")</f>
        <v xml:space="preserve">   442190</v>
      </c>
      <c r="B1475" t="str">
        <f>T("   Ouvrages, en bois, n.d.a.")</f>
        <v xml:space="preserve">   Ouvrages, en bois, n.d.a.</v>
      </c>
      <c r="C1475">
        <v>978766</v>
      </c>
      <c r="D1475">
        <v>2247</v>
      </c>
    </row>
    <row r="1476" spans="1:4" x14ac:dyDescent="0.25">
      <c r="A1476" t="str">
        <f>T("   481720")</f>
        <v xml:space="preserve">   481720</v>
      </c>
      <c r="B1476" t="str">
        <f>T("   Cartes-lettres, cartes postales non illustrées et cartes pour correspondance, en papier ou en carton (à l'excl. des articles comportant un timbre-poste imprimé)")</f>
        <v xml:space="preserve">   Cartes-lettres, cartes postales non illustrées et cartes pour correspondance, en papier ou en carton (à l'excl. des articles comportant un timbre-poste imprimé)</v>
      </c>
      <c r="C1476">
        <v>156196</v>
      </c>
      <c r="D1476">
        <v>59</v>
      </c>
    </row>
    <row r="1477" spans="1:4" x14ac:dyDescent="0.25">
      <c r="A1477" t="str">
        <f>T("   481930")</f>
        <v xml:space="preserve">   481930</v>
      </c>
      <c r="B1477" t="str">
        <f>T("   Sacs, en papier, carton, ouate de cellulose ou nappes de fibres de cellulose, d'une largeur à la base &gt;= 40 cm")</f>
        <v xml:space="preserve">   Sacs, en papier, carton, ouate de cellulose ou nappes de fibres de cellulose, d'une largeur à la base &gt;= 40 cm</v>
      </c>
      <c r="C1477">
        <v>371608796</v>
      </c>
      <c r="D1477">
        <v>421573</v>
      </c>
    </row>
    <row r="1478" spans="1:4" x14ac:dyDescent="0.25">
      <c r="A1478" t="str">
        <f>T("   482010")</f>
        <v xml:space="preserve">   482010</v>
      </c>
      <c r="B1478"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478">
        <v>232000</v>
      </c>
      <c r="D1478">
        <v>904</v>
      </c>
    </row>
    <row r="1479" spans="1:4" x14ac:dyDescent="0.25">
      <c r="A1479" t="str">
        <f>T("   482390")</f>
        <v xml:space="preserve">   482390</v>
      </c>
      <c r="B1479" t="s">
        <v>235</v>
      </c>
      <c r="C1479">
        <v>7819</v>
      </c>
      <c r="D1479">
        <v>3</v>
      </c>
    </row>
    <row r="1480" spans="1:4" x14ac:dyDescent="0.25">
      <c r="A1480" t="str">
        <f>T("   490700")</f>
        <v xml:space="preserve">   490700</v>
      </c>
      <c r="B1480" t="s">
        <v>237</v>
      </c>
      <c r="C1480">
        <v>2608408</v>
      </c>
      <c r="D1480">
        <v>614</v>
      </c>
    </row>
    <row r="1481" spans="1:4" x14ac:dyDescent="0.25">
      <c r="A1481" t="str">
        <f>T("   490900")</f>
        <v xml:space="preserve">   490900</v>
      </c>
      <c r="B1481"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1481">
        <v>524558</v>
      </c>
      <c r="D1481">
        <v>69</v>
      </c>
    </row>
    <row r="1482" spans="1:4" x14ac:dyDescent="0.25">
      <c r="A1482" t="str">
        <f>T("   491000")</f>
        <v xml:space="preserve">   491000</v>
      </c>
      <c r="B1482" t="str">
        <f>T("   Calendriers de tous genres, imprimés, y.c. les blocs de calendriers à effeuiller")</f>
        <v xml:space="preserve">   Calendriers de tous genres, imprimés, y.c. les blocs de calendriers à effeuiller</v>
      </c>
      <c r="C1482">
        <v>23692580</v>
      </c>
      <c r="D1482">
        <v>8325</v>
      </c>
    </row>
    <row r="1483" spans="1:4" x14ac:dyDescent="0.25">
      <c r="A1483" t="str">
        <f>T("   491110")</f>
        <v xml:space="preserve">   491110</v>
      </c>
      <c r="B1483" t="str">
        <f>T("   Imprimés publicitaires, catalogues commerciaux et simil.")</f>
        <v xml:space="preserve">   Imprimés publicitaires, catalogues commerciaux et simil.</v>
      </c>
      <c r="C1483">
        <v>2152192</v>
      </c>
      <c r="D1483">
        <v>3484</v>
      </c>
    </row>
    <row r="1484" spans="1:4" x14ac:dyDescent="0.25">
      <c r="A1484" t="str">
        <f>T("   491199")</f>
        <v xml:space="preserve">   491199</v>
      </c>
      <c r="B1484" t="str">
        <f>T("   Imprimés, n.d.a.")</f>
        <v xml:space="preserve">   Imprimés, n.d.a.</v>
      </c>
      <c r="C1484">
        <v>250000</v>
      </c>
      <c r="D1484">
        <v>545</v>
      </c>
    </row>
    <row r="1485" spans="1:4" x14ac:dyDescent="0.25">
      <c r="A1485" t="str">
        <f>T("   520852")</f>
        <v xml:space="preserve">   520852</v>
      </c>
      <c r="B1485" t="str">
        <f>T("   Tissus de coton, imprimés, à armure toile, contenant &gt;= 85% en poids de coton, d'un poids &gt; 100 g/m² mais &lt;= 200 g/m²")</f>
        <v xml:space="preserve">   Tissus de coton, imprimés, à armure toile, contenant &gt;= 85% en poids de coton, d'un poids &gt; 100 g/m² mais &lt;= 200 g/m²</v>
      </c>
      <c r="C1485">
        <v>5858139126</v>
      </c>
      <c r="D1485">
        <v>606428</v>
      </c>
    </row>
    <row r="1486" spans="1:4" x14ac:dyDescent="0.25">
      <c r="A1486" t="str">
        <f>T("   570299")</f>
        <v xml:space="preserve">   570299</v>
      </c>
      <c r="B1486" t="s">
        <v>267</v>
      </c>
      <c r="C1486">
        <v>323059</v>
      </c>
      <c r="D1486">
        <v>38</v>
      </c>
    </row>
    <row r="1487" spans="1:4" x14ac:dyDescent="0.25">
      <c r="A1487" t="str">
        <f>T("   610910")</f>
        <v xml:space="preserve">   610910</v>
      </c>
      <c r="B1487" t="str">
        <f>T("   T-shirts et maillots de corps, en bonneterie, de coton,")</f>
        <v xml:space="preserve">   T-shirts et maillots de corps, en bonneterie, de coton,</v>
      </c>
      <c r="C1487">
        <v>10563574</v>
      </c>
      <c r="D1487">
        <v>883</v>
      </c>
    </row>
    <row r="1488" spans="1:4" x14ac:dyDescent="0.25">
      <c r="A1488" t="str">
        <f>T("   610990")</f>
        <v xml:space="preserve">   610990</v>
      </c>
      <c r="B1488" t="str">
        <f>T("   T-shirts et maillots de corps, en bonneterie, de matières textiles (sauf de coton)")</f>
        <v xml:space="preserve">   T-shirts et maillots de corps, en bonneterie, de matières textiles (sauf de coton)</v>
      </c>
      <c r="C1488">
        <v>35792</v>
      </c>
      <c r="D1488">
        <v>120</v>
      </c>
    </row>
    <row r="1489" spans="1:4" x14ac:dyDescent="0.25">
      <c r="A1489" t="str">
        <f>T("   611610")</f>
        <v xml:space="preserve">   611610</v>
      </c>
      <c r="B1489"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1489">
        <v>350000</v>
      </c>
      <c r="D1489">
        <v>265</v>
      </c>
    </row>
    <row r="1490" spans="1:4" x14ac:dyDescent="0.25">
      <c r="A1490" t="str">
        <f>T("   620520")</f>
        <v xml:space="preserve">   620520</v>
      </c>
      <c r="B149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490">
        <v>2575099</v>
      </c>
      <c r="D1490">
        <v>172</v>
      </c>
    </row>
    <row r="1491" spans="1:4" x14ac:dyDescent="0.25">
      <c r="A1491" t="str">
        <f>T("   621490")</f>
        <v xml:space="preserve">   621490</v>
      </c>
      <c r="B1491"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1491">
        <v>100000</v>
      </c>
      <c r="D1491">
        <v>258</v>
      </c>
    </row>
    <row r="1492" spans="1:4" x14ac:dyDescent="0.25">
      <c r="A1492" t="str">
        <f>T("   630239")</f>
        <v xml:space="preserve">   630239</v>
      </c>
      <c r="B1492"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1492">
        <v>323059</v>
      </c>
      <c r="D1492">
        <v>38</v>
      </c>
    </row>
    <row r="1493" spans="1:4" x14ac:dyDescent="0.25">
      <c r="A1493" t="str">
        <f>T("   630251")</f>
        <v xml:space="preserve">   630251</v>
      </c>
      <c r="B1493" t="str">
        <f>T("   Linge de table de coton (autre qu'en bonneterie)")</f>
        <v xml:space="preserve">   Linge de table de coton (autre qu'en bonneterie)</v>
      </c>
      <c r="C1493">
        <v>30000</v>
      </c>
      <c r="D1493">
        <v>32</v>
      </c>
    </row>
    <row r="1494" spans="1:4" x14ac:dyDescent="0.25">
      <c r="A1494" t="str">
        <f>T("   630533")</f>
        <v xml:space="preserve">   630533</v>
      </c>
      <c r="B1494"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494">
        <v>118640000</v>
      </c>
      <c r="D1494">
        <v>57794</v>
      </c>
    </row>
    <row r="1495" spans="1:4" x14ac:dyDescent="0.25">
      <c r="A1495" t="str">
        <f>T("   630612")</f>
        <v xml:space="preserve">   630612</v>
      </c>
      <c r="B1495"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1495">
        <v>96455700</v>
      </c>
      <c r="D1495">
        <v>23920</v>
      </c>
    </row>
    <row r="1496" spans="1:4" x14ac:dyDescent="0.25">
      <c r="A1496" t="str">
        <f>T("   630710")</f>
        <v xml:space="preserve">   630710</v>
      </c>
      <c r="B1496" t="str">
        <f>T("   Serpillières ou wassingues, lavettes, chamoisettes et articles d'entretien simil. en tous types de matières textiles")</f>
        <v xml:space="preserve">   Serpillières ou wassingues, lavettes, chamoisettes et articles d'entretien simil. en tous types de matières textiles</v>
      </c>
      <c r="C1496">
        <v>8000000</v>
      </c>
      <c r="D1496">
        <v>8040</v>
      </c>
    </row>
    <row r="1497" spans="1:4" x14ac:dyDescent="0.25">
      <c r="A1497" t="str">
        <f>T("   640199")</f>
        <v xml:space="preserve">   640199</v>
      </c>
      <c r="B1497" t="s">
        <v>301</v>
      </c>
      <c r="C1497">
        <v>4724760</v>
      </c>
      <c r="D1497">
        <v>7254</v>
      </c>
    </row>
    <row r="1498" spans="1:4" x14ac:dyDescent="0.25">
      <c r="A1498" t="str">
        <f>T("   640590")</f>
        <v xml:space="preserve">   640590</v>
      </c>
      <c r="B1498" t="s">
        <v>311</v>
      </c>
      <c r="C1498">
        <v>27723960</v>
      </c>
      <c r="D1498">
        <v>85660</v>
      </c>
    </row>
    <row r="1499" spans="1:4" x14ac:dyDescent="0.25">
      <c r="A1499" t="str">
        <f>T("   650510")</f>
        <v xml:space="preserve">   650510</v>
      </c>
      <c r="B1499" t="str">
        <f>T("   Résilles et filets à cheveux en toutes matières, même garnis")</f>
        <v xml:space="preserve">   Résilles et filets à cheveux en toutes matières, même garnis</v>
      </c>
      <c r="C1499">
        <v>2248477</v>
      </c>
      <c r="D1499">
        <v>90</v>
      </c>
    </row>
    <row r="1500" spans="1:4" x14ac:dyDescent="0.25">
      <c r="A1500" t="str">
        <f>T("   650590")</f>
        <v xml:space="preserve">   650590</v>
      </c>
      <c r="B1500" t="s">
        <v>312</v>
      </c>
      <c r="C1500">
        <v>5961471</v>
      </c>
      <c r="D1500">
        <v>248</v>
      </c>
    </row>
    <row r="1501" spans="1:4" x14ac:dyDescent="0.25">
      <c r="A1501" t="str">
        <f>T("   680710")</f>
        <v xml:space="preserve">   680710</v>
      </c>
      <c r="B1501" t="str">
        <f>T("   Ouvrages en asphalte ou en produits simil., p.ex. poix de pétrole, brais, en rouleaux")</f>
        <v xml:space="preserve">   Ouvrages en asphalte ou en produits simil., p.ex. poix de pétrole, brais, en rouleaux</v>
      </c>
      <c r="C1501">
        <v>14341916</v>
      </c>
      <c r="D1501">
        <v>34755</v>
      </c>
    </row>
    <row r="1502" spans="1:4" x14ac:dyDescent="0.25">
      <c r="A1502" t="str">
        <f>T("   690390")</f>
        <v xml:space="preserve">   690390</v>
      </c>
      <c r="B1502" t="s">
        <v>332</v>
      </c>
      <c r="C1502">
        <v>67437</v>
      </c>
      <c r="D1502">
        <v>5</v>
      </c>
    </row>
    <row r="1503" spans="1:4" x14ac:dyDescent="0.25">
      <c r="A1503" t="str">
        <f>T("   701090")</f>
        <v xml:space="preserve">   701090</v>
      </c>
      <c r="B1503" t="s">
        <v>348</v>
      </c>
      <c r="C1503">
        <v>11854</v>
      </c>
      <c r="D1503">
        <v>1</v>
      </c>
    </row>
    <row r="1504" spans="1:4" x14ac:dyDescent="0.25">
      <c r="A1504" t="str">
        <f>T("   721391")</f>
        <v xml:space="preserve">   721391</v>
      </c>
      <c r="B1504"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504">
        <v>327688189</v>
      </c>
      <c r="D1504">
        <v>928900</v>
      </c>
    </row>
    <row r="1505" spans="1:4" x14ac:dyDescent="0.25">
      <c r="A1505" t="str">
        <f>T("   721420")</f>
        <v xml:space="preserve">   721420</v>
      </c>
      <c r="B150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505">
        <v>1306240386</v>
      </c>
      <c r="D1505">
        <v>3585000</v>
      </c>
    </row>
    <row r="1506" spans="1:4" x14ac:dyDescent="0.25">
      <c r="A1506" t="str">
        <f>T("   721499")</f>
        <v xml:space="preserve">   721499</v>
      </c>
      <c r="B1506" t="s">
        <v>367</v>
      </c>
      <c r="C1506">
        <v>11872544</v>
      </c>
      <c r="D1506">
        <v>30000</v>
      </c>
    </row>
    <row r="1507" spans="1:4" x14ac:dyDescent="0.25">
      <c r="A1507" t="str">
        <f>T("   721691")</f>
        <v xml:space="preserve">   721691</v>
      </c>
      <c r="B1507" t="str">
        <f>T("   PROFILÉS EN FER OU ACIERS NON-ALLIÉS, OBTENUS OU PARACHEVÉS À FROID À PARTIR DE PRODUITS LAMINÉS PLATS ET AYANT SUBI CERTAINES OUVRAISONS PLUS POUSSÉES")</f>
        <v xml:space="preserve">   PROFILÉS EN FER OU ACIERS NON-ALLIÉS, OBTENUS OU PARACHEVÉS À FROID À PARTIR DE PRODUITS LAMINÉS PLATS ET AYANT SUBI CERTAINES OUVRAISONS PLUS POUSSÉES</v>
      </c>
      <c r="C1507">
        <v>12766617</v>
      </c>
      <c r="D1507">
        <v>24004</v>
      </c>
    </row>
    <row r="1508" spans="1:4" x14ac:dyDescent="0.25">
      <c r="A1508" t="str">
        <f>T("   730110")</f>
        <v xml:space="preserve">   730110</v>
      </c>
      <c r="B1508" t="str">
        <f>T("   PALPLANCHES EN FER OU EN ACIER, MÊME PERCÉES OU FAITES D'ÉLÉMENTS ASSEMBLÉS")</f>
        <v xml:space="preserve">   PALPLANCHES EN FER OU EN ACIER, MÊME PERCÉES OU FAITES D'ÉLÉMENTS ASSEMBLÉS</v>
      </c>
      <c r="C1508">
        <v>13399739</v>
      </c>
      <c r="D1508">
        <v>24220</v>
      </c>
    </row>
    <row r="1509" spans="1:4" x14ac:dyDescent="0.25">
      <c r="A1509" t="str">
        <f>T("   730660")</f>
        <v xml:space="preserve">   730660</v>
      </c>
      <c r="B1509" t="s">
        <v>375</v>
      </c>
      <c r="C1509">
        <v>19546205</v>
      </c>
      <c r="D1509">
        <v>40160</v>
      </c>
    </row>
    <row r="1510" spans="1:4" x14ac:dyDescent="0.25">
      <c r="A1510" t="str">
        <f>T("   730793")</f>
        <v xml:space="preserve">   730793</v>
      </c>
      <c r="B1510" t="str">
        <f>T("   ACCESSOIRES DE TUYAUTERIE EN FER OU EN ACIERS, À SOUDER BOUT À BOUT (AUTRES QUE MOULÉS OU EN ACIERS INOXYDABLES ET SAUF BRIDES)")</f>
        <v xml:space="preserve">   ACCESSOIRES DE TUYAUTERIE EN FER OU EN ACIERS, À SOUDER BOUT À BOUT (AUTRES QUE MOULÉS OU EN ACIERS INOXYDABLES ET SAUF BRIDES)</v>
      </c>
      <c r="C1510">
        <v>5496</v>
      </c>
      <c r="D1510">
        <v>2</v>
      </c>
    </row>
    <row r="1511" spans="1:4" x14ac:dyDescent="0.25">
      <c r="A1511" t="str">
        <f>T("   730820")</f>
        <v xml:space="preserve">   730820</v>
      </c>
      <c r="B1511" t="str">
        <f>T("   Tours et pylônes, en fer ou en acier")</f>
        <v xml:space="preserve">   Tours et pylônes, en fer ou en acier</v>
      </c>
      <c r="C1511">
        <v>69515033</v>
      </c>
      <c r="D1511">
        <v>78152</v>
      </c>
    </row>
    <row r="1512" spans="1:4" x14ac:dyDescent="0.25">
      <c r="A1512" t="str">
        <f>T("   731021")</f>
        <v xml:space="preserve">   731021</v>
      </c>
      <c r="B1512"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512">
        <v>10164084</v>
      </c>
      <c r="D1512">
        <v>32350</v>
      </c>
    </row>
    <row r="1513" spans="1:4" x14ac:dyDescent="0.25">
      <c r="A1513" t="str">
        <f>T("   731029")</f>
        <v xml:space="preserve">   731029</v>
      </c>
      <c r="B151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513">
        <v>40220569</v>
      </c>
      <c r="D1513">
        <v>24492</v>
      </c>
    </row>
    <row r="1514" spans="1:4" x14ac:dyDescent="0.25">
      <c r="A1514" t="str">
        <f>T("   731210")</f>
        <v xml:space="preserve">   731210</v>
      </c>
      <c r="B1514"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1514">
        <v>6365838</v>
      </c>
      <c r="D1514">
        <v>834</v>
      </c>
    </row>
    <row r="1515" spans="1:4" x14ac:dyDescent="0.25">
      <c r="A1515" t="str">
        <f>T("   731811")</f>
        <v xml:space="preserve">   731811</v>
      </c>
      <c r="B1515" t="str">
        <f>T("   Tire-fond en fonte, fer ou acier")</f>
        <v xml:space="preserve">   Tire-fond en fonte, fer ou acier</v>
      </c>
      <c r="C1515">
        <v>27994054</v>
      </c>
      <c r="D1515">
        <v>25864</v>
      </c>
    </row>
    <row r="1516" spans="1:4" x14ac:dyDescent="0.25">
      <c r="A1516" t="str">
        <f>T("   732394")</f>
        <v xml:space="preserve">   732394</v>
      </c>
      <c r="B1516" t="s">
        <v>389</v>
      </c>
      <c r="C1516">
        <v>600000</v>
      </c>
      <c r="D1516">
        <v>387</v>
      </c>
    </row>
    <row r="1517" spans="1:4" x14ac:dyDescent="0.25">
      <c r="A1517" t="str">
        <f>T("   732690")</f>
        <v xml:space="preserve">   732690</v>
      </c>
      <c r="B151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517">
        <v>9344896</v>
      </c>
      <c r="D1517">
        <v>7045</v>
      </c>
    </row>
    <row r="1518" spans="1:4" x14ac:dyDescent="0.25">
      <c r="A1518" t="str">
        <f>T("   741300")</f>
        <v xml:space="preserve">   741300</v>
      </c>
      <c r="B1518" t="str">
        <f>T("   Torons, câbles, tresses et articles simil., en cuivre (sauf produits isolés pour l'électricité)")</f>
        <v xml:space="preserve">   Torons, câbles, tresses et articles simil., en cuivre (sauf produits isolés pour l'électricité)</v>
      </c>
      <c r="C1518">
        <v>24821414</v>
      </c>
      <c r="D1518">
        <v>2982</v>
      </c>
    </row>
    <row r="1519" spans="1:4" x14ac:dyDescent="0.25">
      <c r="A1519" t="str">
        <f>T("   741999")</f>
        <v xml:space="preserve">   741999</v>
      </c>
      <c r="B1519" t="str">
        <f>T("   Ouvrages en cuivre, n.d.a.")</f>
        <v xml:space="preserve">   Ouvrages en cuivre, n.d.a.</v>
      </c>
      <c r="C1519">
        <v>2172189</v>
      </c>
      <c r="D1519">
        <v>1432</v>
      </c>
    </row>
    <row r="1520" spans="1:4" x14ac:dyDescent="0.25">
      <c r="A1520" t="str">
        <f>T("   761010")</f>
        <v xml:space="preserve">   761010</v>
      </c>
      <c r="B1520" t="str">
        <f>T("   Portes, fenêtres et leurs cadres, chambranles et seuils, en aluminium (sauf pièces de garnissage)")</f>
        <v xml:space="preserve">   Portes, fenêtres et leurs cadres, chambranles et seuils, en aluminium (sauf pièces de garnissage)</v>
      </c>
      <c r="C1520">
        <v>19661388</v>
      </c>
      <c r="D1520">
        <v>11400</v>
      </c>
    </row>
    <row r="1521" spans="1:4" x14ac:dyDescent="0.25">
      <c r="A1521" t="str">
        <f>T("   820140")</f>
        <v xml:space="preserve">   820140</v>
      </c>
      <c r="B1521" t="str">
        <f>T("   Haches, serpes et outils simil. à taillants, avec partie travaillante en métaux communs")</f>
        <v xml:space="preserve">   Haches, serpes et outils simil. à taillants, avec partie travaillante en métaux communs</v>
      </c>
      <c r="C1521">
        <v>71007044</v>
      </c>
      <c r="D1521">
        <v>52498</v>
      </c>
    </row>
    <row r="1522" spans="1:4" x14ac:dyDescent="0.25">
      <c r="A1522" t="str">
        <f>T("   840999")</f>
        <v xml:space="preserve">   840999</v>
      </c>
      <c r="B152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522">
        <v>224053</v>
      </c>
      <c r="D1522">
        <v>8.5</v>
      </c>
    </row>
    <row r="1523" spans="1:4" x14ac:dyDescent="0.25">
      <c r="A1523" t="str">
        <f>T("   841391")</f>
        <v xml:space="preserve">   841391</v>
      </c>
      <c r="B1523" t="str">
        <f>T("   Parties de pompes pour liquides, n.d.a.")</f>
        <v xml:space="preserve">   Parties de pompes pour liquides, n.d.a.</v>
      </c>
      <c r="C1523">
        <v>2114959</v>
      </c>
      <c r="D1523">
        <v>60</v>
      </c>
    </row>
    <row r="1524" spans="1:4" x14ac:dyDescent="0.25">
      <c r="A1524" t="str">
        <f>T("   841510")</f>
        <v xml:space="preserve">   841510</v>
      </c>
      <c r="B1524" t="s">
        <v>422</v>
      </c>
      <c r="C1524">
        <v>7648493</v>
      </c>
      <c r="D1524">
        <v>1085</v>
      </c>
    </row>
    <row r="1525" spans="1:4" x14ac:dyDescent="0.25">
      <c r="A1525" t="str">
        <f>T("   841583")</f>
        <v xml:space="preserve">   841583</v>
      </c>
      <c r="B1525" t="s">
        <v>425</v>
      </c>
      <c r="C1525">
        <v>2096654</v>
      </c>
      <c r="D1525">
        <v>2245</v>
      </c>
    </row>
    <row r="1526" spans="1:4" x14ac:dyDescent="0.25">
      <c r="A1526" t="str">
        <f>T("   841919")</f>
        <v xml:space="preserve">   841919</v>
      </c>
      <c r="B1526"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1526">
        <v>298738</v>
      </c>
      <c r="D1526">
        <v>200</v>
      </c>
    </row>
    <row r="1527" spans="1:4" x14ac:dyDescent="0.25">
      <c r="A1527" t="str">
        <f>T("   842129")</f>
        <v xml:space="preserve">   842129</v>
      </c>
      <c r="B152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1527">
        <v>5298257</v>
      </c>
      <c r="D1527">
        <v>40</v>
      </c>
    </row>
    <row r="1528" spans="1:4" x14ac:dyDescent="0.25">
      <c r="A1528" t="str">
        <f>T("   842230")</f>
        <v xml:space="preserve">   842230</v>
      </c>
      <c r="B1528"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1528">
        <v>4079775</v>
      </c>
      <c r="D1528">
        <v>1845</v>
      </c>
    </row>
    <row r="1529" spans="1:4" x14ac:dyDescent="0.25">
      <c r="A1529" t="str">
        <f>T("   843139")</f>
        <v xml:space="preserve">   843139</v>
      </c>
      <c r="B1529" t="str">
        <f>T("   Parties de machines et appareils du n° 8428, n.d.a.")</f>
        <v xml:space="preserve">   Parties de machines et appareils du n° 8428, n.d.a.</v>
      </c>
      <c r="C1529">
        <v>2592363</v>
      </c>
      <c r="D1529">
        <v>1447</v>
      </c>
    </row>
    <row r="1530" spans="1:4" x14ac:dyDescent="0.25">
      <c r="A1530" t="str">
        <f>T("   847170")</f>
        <v xml:space="preserve">   847170</v>
      </c>
      <c r="B1530" t="str">
        <f>T("   UNITÉS DE MÉMOIRE POUR MACHINES AUTOMATIQUES DE TRAITEMENT DE L'INFORMATION")</f>
        <v xml:space="preserve">   UNITÉS DE MÉMOIRE POUR MACHINES AUTOMATIQUES DE TRAITEMENT DE L'INFORMATION</v>
      </c>
      <c r="C1530">
        <v>2850000</v>
      </c>
      <c r="D1530">
        <v>20</v>
      </c>
    </row>
    <row r="1531" spans="1:4" x14ac:dyDescent="0.25">
      <c r="A1531" t="str">
        <f>T("   847190")</f>
        <v xml:space="preserve">   847190</v>
      </c>
      <c r="B153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531">
        <v>28769562</v>
      </c>
      <c r="D1531">
        <v>836.5</v>
      </c>
    </row>
    <row r="1532" spans="1:4" x14ac:dyDescent="0.25">
      <c r="A1532" t="str">
        <f>T("   847290")</f>
        <v xml:space="preserve">   847290</v>
      </c>
      <c r="B1532" t="str">
        <f>T("   Machines et appareils de bureau, n.d.a.")</f>
        <v xml:space="preserve">   Machines et appareils de bureau, n.d.a.</v>
      </c>
      <c r="C1532">
        <v>226150</v>
      </c>
      <c r="D1532">
        <v>6</v>
      </c>
    </row>
    <row r="1533" spans="1:4" x14ac:dyDescent="0.25">
      <c r="A1533" t="str">
        <f>T("   847330")</f>
        <v xml:space="preserve">   847330</v>
      </c>
      <c r="B1533" t="str">
        <f>T("   Parties et accessoires pour machines automatiques de traitement de l'information ou pour autres machines du n° 8471, n.d.a.")</f>
        <v xml:space="preserve">   Parties et accessoires pour machines automatiques de traitement de l'information ou pour autres machines du n° 8471, n.d.a.</v>
      </c>
      <c r="C1533">
        <v>1207470</v>
      </c>
      <c r="D1533">
        <v>2.2000000000000002</v>
      </c>
    </row>
    <row r="1534" spans="1:4" x14ac:dyDescent="0.25">
      <c r="A1534" t="str">
        <f>T("   847989")</f>
        <v xml:space="preserve">   847989</v>
      </c>
      <c r="B1534" t="str">
        <f>T("   Machines et appareils, y.c. les appareils mécaniques, n.d.a.")</f>
        <v xml:space="preserve">   Machines et appareils, y.c. les appareils mécaniques, n.d.a.</v>
      </c>
      <c r="C1534">
        <v>800000</v>
      </c>
      <c r="D1534">
        <v>550</v>
      </c>
    </row>
    <row r="1535" spans="1:4" x14ac:dyDescent="0.25">
      <c r="A1535" t="str">
        <f>T("   848071")</f>
        <v xml:space="preserve">   848071</v>
      </c>
      <c r="B1535" t="str">
        <f>T("   Moules pour le caoutchouc ou les matières plastiques, pour le moulage par injection ou par compression")</f>
        <v xml:space="preserve">   Moules pour le caoutchouc ou les matières plastiques, pour le moulage par injection ou par compression</v>
      </c>
      <c r="C1535">
        <v>797904</v>
      </c>
      <c r="D1535">
        <v>155</v>
      </c>
    </row>
    <row r="1536" spans="1:4" x14ac:dyDescent="0.25">
      <c r="A1536" t="str">
        <f>T("   848490")</f>
        <v xml:space="preserve">   848490</v>
      </c>
      <c r="B1536" t="str">
        <f>T("   Jeux ou assortiments de joints de composition différente présentés en pochettes, enveloppes ou emballages analogues")</f>
        <v xml:space="preserve">   Jeux ou assortiments de joints de composition différente présentés en pochettes, enveloppes ou emballages analogues</v>
      </c>
      <c r="C1536">
        <v>1525261</v>
      </c>
      <c r="D1536">
        <v>12</v>
      </c>
    </row>
    <row r="1537" spans="1:4" x14ac:dyDescent="0.25">
      <c r="A1537" t="str">
        <f>T("   850132")</f>
        <v xml:space="preserve">   850132</v>
      </c>
      <c r="B1537" t="str">
        <f>T("   Moteurs et génératrices à courant continu, puissance &gt; 750 W mais &lt;= 75 kW")</f>
        <v xml:space="preserve">   Moteurs et génératrices à courant continu, puissance &gt; 750 W mais &lt;= 75 kW</v>
      </c>
      <c r="C1537">
        <v>7838090</v>
      </c>
      <c r="D1537">
        <v>892</v>
      </c>
    </row>
    <row r="1538" spans="1:4" x14ac:dyDescent="0.25">
      <c r="A1538" t="str">
        <f>T("   850440")</f>
        <v xml:space="preserve">   850440</v>
      </c>
      <c r="B1538" t="str">
        <f>T("   CONVERTISSEURS STATIQUES")</f>
        <v xml:space="preserve">   CONVERTISSEURS STATIQUES</v>
      </c>
      <c r="C1538">
        <v>3340954</v>
      </c>
      <c r="D1538">
        <v>790.1</v>
      </c>
    </row>
    <row r="1539" spans="1:4" x14ac:dyDescent="0.25">
      <c r="A1539" t="str">
        <f>T("   850780")</f>
        <v xml:space="preserve">   850780</v>
      </c>
      <c r="B1539" t="str">
        <f>T("   Accumulateurs électriques (sauf hors d'usage et autres qu'au plomb, au nickel-cadmium ou au nickel-fer)")</f>
        <v xml:space="preserve">   Accumulateurs électriques (sauf hors d'usage et autres qu'au plomb, au nickel-cadmium ou au nickel-fer)</v>
      </c>
      <c r="C1539">
        <v>154754</v>
      </c>
      <c r="D1539">
        <v>2</v>
      </c>
    </row>
    <row r="1540" spans="1:4" x14ac:dyDescent="0.25">
      <c r="A1540" t="str">
        <f>T("   851120")</f>
        <v xml:space="preserve">   851120</v>
      </c>
      <c r="B1540" t="str">
        <f>T("   Magnétos, dynamos-magnétos, volants magnétiques, pour moteurs à allumage par étincelles ou par compression")</f>
        <v xml:space="preserve">   Magnétos, dynamos-magnétos, volants magnétiques, pour moteurs à allumage par étincelles ou par compression</v>
      </c>
      <c r="C1540">
        <v>23550932</v>
      </c>
      <c r="D1540">
        <v>5000</v>
      </c>
    </row>
    <row r="1541" spans="1:4" x14ac:dyDescent="0.25">
      <c r="A1541" t="str">
        <f>T("   851190")</f>
        <v xml:space="preserve">   851190</v>
      </c>
      <c r="B1541" t="str">
        <f>T("   Parties des appareils et dispositifs électriques d'allumage et de démarrage, génératrices etc. du n° 8511, n.d.a.")</f>
        <v xml:space="preserve">   Parties des appareils et dispositifs électriques d'allumage et de démarrage, génératrices etc. du n° 8511, n.d.a.</v>
      </c>
      <c r="C1541">
        <v>1642524</v>
      </c>
      <c r="D1541">
        <v>3852</v>
      </c>
    </row>
    <row r="1542" spans="1:4" x14ac:dyDescent="0.25">
      <c r="A1542" t="str">
        <f>T("   851762")</f>
        <v xml:space="preserve">   851762</v>
      </c>
      <c r="B1542" t="s">
        <v>480</v>
      </c>
      <c r="C1542">
        <v>4218419</v>
      </c>
      <c r="D1542">
        <v>43</v>
      </c>
    </row>
    <row r="1543" spans="1:4" x14ac:dyDescent="0.25">
      <c r="A1543" t="str">
        <f>T("   851769")</f>
        <v xml:space="preserve">   851769</v>
      </c>
      <c r="B1543" t="s">
        <v>481</v>
      </c>
      <c r="C1543">
        <v>14189587</v>
      </c>
      <c r="D1543">
        <v>122</v>
      </c>
    </row>
    <row r="1544" spans="1:4" x14ac:dyDescent="0.25">
      <c r="A1544" t="str">
        <f>T("   851770")</f>
        <v xml:space="preserve">   851770</v>
      </c>
      <c r="B1544"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1544">
        <v>619376</v>
      </c>
      <c r="D1544">
        <v>1</v>
      </c>
    </row>
    <row r="1545" spans="1:4" x14ac:dyDescent="0.25">
      <c r="A1545" t="str">
        <f>T("   851830")</f>
        <v xml:space="preserve">   851830</v>
      </c>
      <c r="B1545" t="s">
        <v>484</v>
      </c>
      <c r="C1545">
        <v>4028790</v>
      </c>
      <c r="D1545">
        <v>12</v>
      </c>
    </row>
    <row r="1546" spans="1:4" x14ac:dyDescent="0.25">
      <c r="A1546" t="str">
        <f>T("   852321")</f>
        <v xml:space="preserve">   852321</v>
      </c>
      <c r="B1546" t="str">
        <f>T("   CARTES MUNIES D'UNE PISTE MAGNÉTIQUE POUR L'ENREGISTREMENT DU SON OU POUR ENREGISTREMENTS ANALOGUES")</f>
        <v xml:space="preserve">   CARTES MUNIES D'UNE PISTE MAGNÉTIQUE POUR L'ENREGISTREMENT DU SON OU POUR ENREGISTREMENTS ANALOGUES</v>
      </c>
      <c r="C1546">
        <v>104641</v>
      </c>
      <c r="D1546">
        <v>1</v>
      </c>
    </row>
    <row r="1547" spans="1:4" x14ac:dyDescent="0.25">
      <c r="A1547" t="str">
        <f>T("   853649")</f>
        <v xml:space="preserve">   853649</v>
      </c>
      <c r="B1547" t="str">
        <f>T("   Relais, pour une tension &gt; 60 V mais &lt;= 1.000 V")</f>
        <v xml:space="preserve">   Relais, pour une tension &gt; 60 V mais &lt;= 1.000 V</v>
      </c>
      <c r="C1547">
        <v>85350</v>
      </c>
      <c r="D1547">
        <v>34</v>
      </c>
    </row>
    <row r="1548" spans="1:4" x14ac:dyDescent="0.25">
      <c r="A1548" t="str">
        <f>T("   853669")</f>
        <v xml:space="preserve">   853669</v>
      </c>
      <c r="B1548" t="str">
        <f>T("   Fiches et prises de courant, pour une tension &lt;= 1.000 V (sauf douilles pour lampes)")</f>
        <v xml:space="preserve">   Fiches et prises de courant, pour une tension &lt;= 1.000 V (sauf douilles pour lampes)</v>
      </c>
      <c r="C1548">
        <v>686950</v>
      </c>
      <c r="D1548">
        <v>8</v>
      </c>
    </row>
    <row r="1549" spans="1:4" x14ac:dyDescent="0.25">
      <c r="A1549" t="str">
        <f>T("   853690")</f>
        <v xml:space="preserve">   853690</v>
      </c>
      <c r="B1549" t="s">
        <v>499</v>
      </c>
      <c r="C1549">
        <v>366271</v>
      </c>
      <c r="D1549">
        <v>26</v>
      </c>
    </row>
    <row r="1550" spans="1:4" x14ac:dyDescent="0.25">
      <c r="A1550" t="str">
        <f>T("   853949")</f>
        <v xml:space="preserve">   853949</v>
      </c>
      <c r="B1550" t="str">
        <f>T("   Lampes et tubes à rayons ultraviolets ou infrarouges")</f>
        <v xml:space="preserve">   Lampes et tubes à rayons ultraviolets ou infrarouges</v>
      </c>
      <c r="C1550">
        <v>1021709</v>
      </c>
      <c r="D1550">
        <v>1432</v>
      </c>
    </row>
    <row r="1551" spans="1:4" x14ac:dyDescent="0.25">
      <c r="A1551" t="str">
        <f>T("   854420")</f>
        <v xml:space="preserve">   854420</v>
      </c>
      <c r="B1551" t="str">
        <f>T("   Câbles coaxiaux et autres conducteurs électriques coaxiaux, isolés")</f>
        <v xml:space="preserve">   Câbles coaxiaux et autres conducteurs électriques coaxiaux, isolés</v>
      </c>
      <c r="C1551">
        <v>10516950</v>
      </c>
      <c r="D1551">
        <v>1330</v>
      </c>
    </row>
    <row r="1552" spans="1:4" x14ac:dyDescent="0.25">
      <c r="A1552" t="str">
        <f>T("   854449")</f>
        <v xml:space="preserve">   854449</v>
      </c>
      <c r="B1552" t="str">
        <f>T("   CONDUCTEURS ÉLECTRIQUES, POUR TENSION &lt;= 1.000 V, ISOLÉS, SANS PIÈCES DE CONNEXION, N.D.A.")</f>
        <v xml:space="preserve">   CONDUCTEURS ÉLECTRIQUES, POUR TENSION &lt;= 1.000 V, ISOLÉS, SANS PIÈCES DE CONNEXION, N.D.A.</v>
      </c>
      <c r="C1552">
        <v>14819310</v>
      </c>
      <c r="D1552">
        <v>3231</v>
      </c>
    </row>
    <row r="1553" spans="1:4" x14ac:dyDescent="0.25">
      <c r="A1553" t="str">
        <f>T("   854460")</f>
        <v xml:space="preserve">   854460</v>
      </c>
      <c r="B1553" t="str">
        <f>T("   Conducteurs électriques, pour tension &gt; 1.000 V, n.d.a.")</f>
        <v xml:space="preserve">   Conducteurs électriques, pour tension &gt; 1.000 V, n.d.a.</v>
      </c>
      <c r="C1553">
        <v>4903869</v>
      </c>
      <c r="D1553">
        <v>1678</v>
      </c>
    </row>
    <row r="1554" spans="1:4" x14ac:dyDescent="0.25">
      <c r="A1554" t="str">
        <f>T("   860730")</f>
        <v xml:space="preserve">   860730</v>
      </c>
      <c r="B1554" t="str">
        <f>T("   Crochets et autres systèmes d'attelage, tampons de choc, de véhicules pour voies ferrées ou simil., leurs parties, n.d.a.")</f>
        <v xml:space="preserve">   Crochets et autres systèmes d'attelage, tampons de choc, de véhicules pour voies ferrées ou simil., leurs parties, n.d.a.</v>
      </c>
      <c r="C1554">
        <v>3641920</v>
      </c>
      <c r="D1554">
        <v>74</v>
      </c>
    </row>
    <row r="1555" spans="1:4" x14ac:dyDescent="0.25">
      <c r="A1555" t="str">
        <f>T("   860900")</f>
        <v xml:space="preserve">   860900</v>
      </c>
      <c r="B1555"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555">
        <v>29476474</v>
      </c>
      <c r="D1555">
        <v>33160</v>
      </c>
    </row>
    <row r="1556" spans="1:4" x14ac:dyDescent="0.25">
      <c r="A1556" t="str">
        <f>T("   870321")</f>
        <v xml:space="preserve">   870321</v>
      </c>
      <c r="B1556" t="s">
        <v>505</v>
      </c>
      <c r="C1556">
        <v>26081271</v>
      </c>
      <c r="D1556">
        <v>3520</v>
      </c>
    </row>
    <row r="1557" spans="1:4" x14ac:dyDescent="0.25">
      <c r="A1557" t="str">
        <f>T("   870323")</f>
        <v xml:space="preserve">   870323</v>
      </c>
      <c r="B1557" t="s">
        <v>507</v>
      </c>
      <c r="C1557">
        <v>13107000</v>
      </c>
      <c r="D1557">
        <v>2145</v>
      </c>
    </row>
    <row r="1558" spans="1:4" x14ac:dyDescent="0.25">
      <c r="A1558" t="str">
        <f>T("   870324")</f>
        <v xml:space="preserve">   870324</v>
      </c>
      <c r="B1558" t="s">
        <v>508</v>
      </c>
      <c r="C1558">
        <v>13194244</v>
      </c>
      <c r="D1558">
        <v>2285</v>
      </c>
    </row>
    <row r="1559" spans="1:4" x14ac:dyDescent="0.25">
      <c r="A1559" t="str">
        <f>T("   870333")</f>
        <v xml:space="preserve">   870333</v>
      </c>
      <c r="B1559" t="s">
        <v>511</v>
      </c>
      <c r="C1559">
        <v>19200000</v>
      </c>
      <c r="D1559">
        <v>3615</v>
      </c>
    </row>
    <row r="1560" spans="1:4" x14ac:dyDescent="0.25">
      <c r="A1560" t="str">
        <f>T("   870421")</f>
        <v xml:space="preserve">   870421</v>
      </c>
      <c r="B1560" t="s">
        <v>512</v>
      </c>
      <c r="C1560">
        <v>37432700</v>
      </c>
      <c r="D1560">
        <v>7924</v>
      </c>
    </row>
    <row r="1561" spans="1:4" x14ac:dyDescent="0.25">
      <c r="A1561" t="str">
        <f>T("   870431")</f>
        <v xml:space="preserve">   870431</v>
      </c>
      <c r="B1561" t="s">
        <v>515</v>
      </c>
      <c r="C1561">
        <v>1200000</v>
      </c>
      <c r="D1561">
        <v>2100</v>
      </c>
    </row>
    <row r="1562" spans="1:4" x14ac:dyDescent="0.25">
      <c r="A1562" t="str">
        <f>T("   871680")</f>
        <v xml:space="preserve">   871680</v>
      </c>
      <c r="B1562" t="str">
        <f>T("   Véhicules dirigés à la main et autres véhicules non automobiles, autres que remorques et semi-remorques")</f>
        <v xml:space="preserve">   Véhicules dirigés à la main et autres véhicules non automobiles, autres que remorques et semi-remorques</v>
      </c>
      <c r="C1562">
        <v>67759751</v>
      </c>
      <c r="D1562">
        <v>94116</v>
      </c>
    </row>
    <row r="1563" spans="1:4" x14ac:dyDescent="0.25">
      <c r="A1563" t="str">
        <f>T("   901890")</f>
        <v xml:space="preserve">   901890</v>
      </c>
      <c r="B1563" t="str">
        <f>T("   Instruments et appareils pour la médecine, la chirurgie ou l'art vétérinaire, n.d.a.")</f>
        <v xml:space="preserve">   Instruments et appareils pour la médecine, la chirurgie ou l'art vétérinaire, n.d.a.</v>
      </c>
      <c r="C1563">
        <v>2563694</v>
      </c>
      <c r="D1563">
        <v>35</v>
      </c>
    </row>
    <row r="1564" spans="1:4" x14ac:dyDescent="0.25">
      <c r="A1564" t="str">
        <f>T("   902610")</f>
        <v xml:space="preserve">   902610</v>
      </c>
      <c r="B1564"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564">
        <v>956652</v>
      </c>
      <c r="D1564">
        <v>4</v>
      </c>
    </row>
    <row r="1565" spans="1:4" x14ac:dyDescent="0.25">
      <c r="A1565" t="str">
        <f>T("   902690")</f>
        <v xml:space="preserve">   902690</v>
      </c>
      <c r="B1565"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1565">
        <v>389545</v>
      </c>
      <c r="D1565">
        <v>10</v>
      </c>
    </row>
    <row r="1566" spans="1:4" x14ac:dyDescent="0.25">
      <c r="A1566" t="str">
        <f>T("   940180")</f>
        <v xml:space="preserve">   940180</v>
      </c>
      <c r="B1566" t="str">
        <f>T("   Sièges, n.d.a.")</f>
        <v xml:space="preserve">   Sièges, n.d.a.</v>
      </c>
      <c r="C1566">
        <v>6615740</v>
      </c>
      <c r="D1566">
        <v>17594</v>
      </c>
    </row>
    <row r="1567" spans="1:4" x14ac:dyDescent="0.25">
      <c r="A1567" t="str">
        <f>T("   940330")</f>
        <v xml:space="preserve">   940330</v>
      </c>
      <c r="B1567" t="str">
        <f>T("   Meubles de bureau en bois (sauf sièges)")</f>
        <v xml:space="preserve">   Meubles de bureau en bois (sauf sièges)</v>
      </c>
      <c r="C1567">
        <v>14212815</v>
      </c>
      <c r="D1567">
        <v>1080</v>
      </c>
    </row>
    <row r="1568" spans="1:4" x14ac:dyDescent="0.25">
      <c r="A1568" t="str">
        <f>T("   940350")</f>
        <v xml:space="preserve">   940350</v>
      </c>
      <c r="B1568" t="str">
        <f>T("   Meubles pour chambres à coucher, en bois (sauf sièges)")</f>
        <v xml:space="preserve">   Meubles pour chambres à coucher, en bois (sauf sièges)</v>
      </c>
      <c r="C1568">
        <v>1400000</v>
      </c>
      <c r="D1568">
        <v>750</v>
      </c>
    </row>
    <row r="1569" spans="1:4" x14ac:dyDescent="0.25">
      <c r="A1569" t="str">
        <f>T("   940360")</f>
        <v xml:space="preserve">   940360</v>
      </c>
      <c r="B1569" t="str">
        <f>T("   Meubles en bois (autres que pour bureaux, cuisines ou chambres à coucher et autres que sièges)")</f>
        <v xml:space="preserve">   Meubles en bois (autres que pour bureaux, cuisines ou chambres à coucher et autres que sièges)</v>
      </c>
      <c r="C1569">
        <v>4000000</v>
      </c>
      <c r="D1569">
        <v>9600</v>
      </c>
    </row>
    <row r="1570" spans="1:4" x14ac:dyDescent="0.25">
      <c r="A1570" t="str">
        <f>T("   940389")</f>
        <v xml:space="preserve">   940389</v>
      </c>
      <c r="B1570"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570">
        <v>10647069</v>
      </c>
      <c r="D1570">
        <v>8400</v>
      </c>
    </row>
    <row r="1571" spans="1:4" x14ac:dyDescent="0.25">
      <c r="A1571" t="str">
        <f>T("   940600")</f>
        <v xml:space="preserve">   940600</v>
      </c>
      <c r="B1571" t="str">
        <f>T("   Constructions préfabriquées, même incomplètes ou non encore montées")</f>
        <v xml:space="preserve">   Constructions préfabriquées, même incomplètes ou non encore montées</v>
      </c>
      <c r="C1571">
        <v>15239127</v>
      </c>
      <c r="D1571">
        <v>5250</v>
      </c>
    </row>
    <row r="1572" spans="1:4" x14ac:dyDescent="0.25">
      <c r="A1572" t="str">
        <f>T("   960810")</f>
        <v xml:space="preserve">   960810</v>
      </c>
      <c r="B1572" t="str">
        <f>T("   Stylos et crayons à bille")</f>
        <v xml:space="preserve">   Stylos et crayons à bille</v>
      </c>
      <c r="C1572">
        <v>24208</v>
      </c>
      <c r="D1572">
        <v>14</v>
      </c>
    </row>
    <row r="1573" spans="1:4" x14ac:dyDescent="0.25">
      <c r="A1573" t="str">
        <f>T("CK")</f>
        <v>CK</v>
      </c>
      <c r="B1573" t="str">
        <f>T("Cook, îles")</f>
        <v>Cook, îles</v>
      </c>
    </row>
    <row r="1574" spans="1:4" x14ac:dyDescent="0.25">
      <c r="A1574" t="str">
        <f>T("   ZZ_Total_Produit_SH6")</f>
        <v xml:space="preserve">   ZZ_Total_Produit_SH6</v>
      </c>
      <c r="B1574" t="str">
        <f>T("   ZZ_Total_Produit_SH6")</f>
        <v xml:space="preserve">   ZZ_Total_Produit_SH6</v>
      </c>
      <c r="C1574">
        <v>325053</v>
      </c>
      <c r="D1574">
        <v>132</v>
      </c>
    </row>
    <row r="1575" spans="1:4" x14ac:dyDescent="0.25">
      <c r="A1575" t="str">
        <f>T("   901520")</f>
        <v xml:space="preserve">   901520</v>
      </c>
      <c r="B1575" t="str">
        <f>T("   Théodolites et tachéomètres")</f>
        <v xml:space="preserve">   Théodolites et tachéomètres</v>
      </c>
      <c r="C1575">
        <v>325053</v>
      </c>
      <c r="D1575">
        <v>132</v>
      </c>
    </row>
    <row r="1576" spans="1:4" x14ac:dyDescent="0.25">
      <c r="A1576" t="str">
        <f>T("CL")</f>
        <v>CL</v>
      </c>
      <c r="B1576" t="str">
        <f>T("Chili")</f>
        <v>Chili</v>
      </c>
    </row>
    <row r="1577" spans="1:4" x14ac:dyDescent="0.25">
      <c r="A1577" t="str">
        <f>T("   ZZ_Total_Produit_SH6")</f>
        <v xml:space="preserve">   ZZ_Total_Produit_SH6</v>
      </c>
      <c r="B1577" t="str">
        <f>T("   ZZ_Total_Produit_SH6")</f>
        <v xml:space="preserve">   ZZ_Total_Produit_SH6</v>
      </c>
      <c r="C1577">
        <v>206975064</v>
      </c>
      <c r="D1577">
        <v>398680</v>
      </c>
    </row>
    <row r="1578" spans="1:4" x14ac:dyDescent="0.25">
      <c r="A1578" t="str">
        <f>T("   020727")</f>
        <v xml:space="preserve">   020727</v>
      </c>
      <c r="B1578" t="str">
        <f>T("   Morceaux et abats comestibles de dindes et dindons [des espèces domestiques], congelés")</f>
        <v xml:space="preserve">   Morceaux et abats comestibles de dindes et dindons [des espèces domestiques], congelés</v>
      </c>
      <c r="C1578">
        <v>62200011</v>
      </c>
      <c r="D1578">
        <v>98010</v>
      </c>
    </row>
    <row r="1579" spans="1:4" x14ac:dyDescent="0.25">
      <c r="A1579" t="str">
        <f>T("   030374")</f>
        <v xml:space="preserve">   030374</v>
      </c>
      <c r="B1579" t="str">
        <f>T("   Maquereaux [Scomber scombrus, Scomber australasicus, Scomber japonicus], congelés")</f>
        <v xml:space="preserve">   Maquereaux [Scomber scombrus, Scomber australasicus, Scomber japonicus], congelés</v>
      </c>
      <c r="C1579">
        <v>6367500</v>
      </c>
      <c r="D1579">
        <v>28300</v>
      </c>
    </row>
    <row r="1580" spans="1:4" x14ac:dyDescent="0.25">
      <c r="A1580" t="str">
        <f>T("   030379")</f>
        <v xml:space="preserve">   030379</v>
      </c>
      <c r="B1580" t="s">
        <v>16</v>
      </c>
      <c r="C1580">
        <v>5404454</v>
      </c>
      <c r="D1580">
        <v>24018</v>
      </c>
    </row>
    <row r="1581" spans="1:4" x14ac:dyDescent="0.25">
      <c r="A1581" t="str">
        <f>T("   050400")</f>
        <v xml:space="preserve">   050400</v>
      </c>
      <c r="B1581"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581">
        <v>60000000</v>
      </c>
      <c r="D1581">
        <v>50000</v>
      </c>
    </row>
    <row r="1582" spans="1:4" x14ac:dyDescent="0.25">
      <c r="A1582" t="str">
        <f>T("   080610")</f>
        <v xml:space="preserve">   080610</v>
      </c>
      <c r="B1582" t="str">
        <f>T("   Raisins, frais")</f>
        <v xml:space="preserve">   Raisins, frais</v>
      </c>
      <c r="C1582">
        <v>59002289</v>
      </c>
      <c r="D1582">
        <v>154728</v>
      </c>
    </row>
    <row r="1583" spans="1:4" x14ac:dyDescent="0.25">
      <c r="A1583" t="str">
        <f>T("   080810")</f>
        <v xml:space="preserve">   080810</v>
      </c>
      <c r="B1583" t="str">
        <f>T("   Pommes, fraîches")</f>
        <v xml:space="preserve">   Pommes, fraîches</v>
      </c>
      <c r="C1583">
        <v>14000810</v>
      </c>
      <c r="D1583">
        <v>43624</v>
      </c>
    </row>
    <row r="1584" spans="1:4" x14ac:dyDescent="0.25">
      <c r="A1584" t="str">
        <f>T("CM")</f>
        <v>CM</v>
      </c>
      <c r="B1584" t="str">
        <f>T("Cameroun")</f>
        <v>Cameroun</v>
      </c>
    </row>
    <row r="1585" spans="1:4" x14ac:dyDescent="0.25">
      <c r="A1585" t="str">
        <f>T("   ZZ_Total_Produit_SH6")</f>
        <v xml:space="preserve">   ZZ_Total_Produit_SH6</v>
      </c>
      <c r="B1585" t="str">
        <f>T("   ZZ_Total_Produit_SH6")</f>
        <v xml:space="preserve">   ZZ_Total_Produit_SH6</v>
      </c>
      <c r="C1585">
        <v>4381497654</v>
      </c>
      <c r="D1585">
        <v>11993742.9</v>
      </c>
    </row>
    <row r="1586" spans="1:4" x14ac:dyDescent="0.25">
      <c r="A1586" t="str">
        <f>T("   271019")</f>
        <v xml:space="preserve">   271019</v>
      </c>
      <c r="B1586" t="str">
        <f>T("   Huiles moyennes et préparations, de pétrole ou de minéraux bitumineux, n.d.a.")</f>
        <v xml:space="preserve">   Huiles moyennes et préparations, de pétrole ou de minéraux bitumineux, n.d.a.</v>
      </c>
      <c r="C1586">
        <v>3569400539</v>
      </c>
      <c r="D1586">
        <v>10767892</v>
      </c>
    </row>
    <row r="1587" spans="1:4" x14ac:dyDescent="0.25">
      <c r="A1587" t="str">
        <f>T("   330129")</f>
        <v xml:space="preserve">   330129</v>
      </c>
      <c r="B1587"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1587">
        <v>175000</v>
      </c>
      <c r="D1587">
        <v>430</v>
      </c>
    </row>
    <row r="1588" spans="1:4" x14ac:dyDescent="0.25">
      <c r="A1588" t="str">
        <f>T("   330300")</f>
        <v xml:space="preserve">   330300</v>
      </c>
      <c r="B158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588">
        <v>569158</v>
      </c>
      <c r="D1588">
        <v>1240</v>
      </c>
    </row>
    <row r="1589" spans="1:4" x14ac:dyDescent="0.25">
      <c r="A1589" t="str">
        <f>T("   330499")</f>
        <v xml:space="preserve">   330499</v>
      </c>
      <c r="B1589" t="s">
        <v>106</v>
      </c>
      <c r="C1589">
        <v>17324296</v>
      </c>
      <c r="D1589">
        <v>67238</v>
      </c>
    </row>
    <row r="1590" spans="1:4" x14ac:dyDescent="0.25">
      <c r="A1590" t="str">
        <f>T("   330790")</f>
        <v xml:space="preserve">   330790</v>
      </c>
      <c r="B1590" t="str">
        <f>T("   Dépilatoires, autres produits de parfumerie ou de toilette préparés et autres préparations cosmétiques, n.d.a.")</f>
        <v xml:space="preserve">   Dépilatoires, autres produits de parfumerie ou de toilette préparés et autres préparations cosmétiques, n.d.a.</v>
      </c>
      <c r="C1590">
        <v>1796408</v>
      </c>
      <c r="D1590">
        <v>4800</v>
      </c>
    </row>
    <row r="1591" spans="1:4" x14ac:dyDescent="0.25">
      <c r="A1591" t="str">
        <f>T("   340111")</f>
        <v xml:space="preserve">   340111</v>
      </c>
      <c r="B1591" t="s">
        <v>107</v>
      </c>
      <c r="C1591">
        <v>3331021</v>
      </c>
      <c r="D1591">
        <v>6973</v>
      </c>
    </row>
    <row r="1592" spans="1:4" x14ac:dyDescent="0.25">
      <c r="A1592" t="str">
        <f>T("   340119")</f>
        <v xml:space="preserve">   340119</v>
      </c>
      <c r="B1592" t="s">
        <v>108</v>
      </c>
      <c r="C1592">
        <v>3245287</v>
      </c>
      <c r="D1592">
        <v>6070</v>
      </c>
    </row>
    <row r="1593" spans="1:4" x14ac:dyDescent="0.25">
      <c r="A1593" t="str">
        <f>T("   392329")</f>
        <v xml:space="preserve">   392329</v>
      </c>
      <c r="B1593" t="str">
        <f>T("   Sacs, sachets, pochettes et cornets, en matières plastiques (autres que les polymères de l'éthylène)")</f>
        <v xml:space="preserve">   Sacs, sachets, pochettes et cornets, en matières plastiques (autres que les polymères de l'éthylène)</v>
      </c>
      <c r="C1593">
        <v>519175</v>
      </c>
      <c r="D1593">
        <v>155</v>
      </c>
    </row>
    <row r="1594" spans="1:4" x14ac:dyDescent="0.25">
      <c r="A1594" t="str">
        <f>T("   392690")</f>
        <v xml:space="preserve">   392690</v>
      </c>
      <c r="B1594" t="str">
        <f>T("   Ouvrages en matières plastiques et ouvrages en autres matières du n° 3901 à 3914, n.d.a.")</f>
        <v xml:space="preserve">   Ouvrages en matières plastiques et ouvrages en autres matières du n° 3901 à 3914, n.d.a.</v>
      </c>
      <c r="C1594">
        <v>500000</v>
      </c>
      <c r="D1594">
        <v>305</v>
      </c>
    </row>
    <row r="1595" spans="1:4" x14ac:dyDescent="0.25">
      <c r="A1595" t="str">
        <f>T("   490199")</f>
        <v xml:space="preserve">   490199</v>
      </c>
      <c r="B159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595">
        <v>6768705</v>
      </c>
      <c r="D1595">
        <v>420</v>
      </c>
    </row>
    <row r="1596" spans="1:4" x14ac:dyDescent="0.25">
      <c r="A1596" t="str">
        <f>T("   491000")</f>
        <v xml:space="preserve">   491000</v>
      </c>
      <c r="B1596" t="str">
        <f>T("   Calendriers de tous genres, imprimés, y.c. les blocs de calendriers à effeuiller")</f>
        <v xml:space="preserve">   Calendriers de tous genres, imprimés, y.c. les blocs de calendriers à effeuiller</v>
      </c>
      <c r="C1596">
        <v>375000</v>
      </c>
      <c r="D1596">
        <v>330</v>
      </c>
    </row>
    <row r="1597" spans="1:4" x14ac:dyDescent="0.25">
      <c r="A1597" t="str">
        <f>T("   620590")</f>
        <v xml:space="preserve">   620590</v>
      </c>
      <c r="B159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597">
        <v>2100000</v>
      </c>
      <c r="D1597">
        <v>750</v>
      </c>
    </row>
    <row r="1598" spans="1:4" x14ac:dyDescent="0.25">
      <c r="A1598" t="str">
        <f>T("   621139")</f>
        <v xml:space="preserve">   621139</v>
      </c>
      <c r="B1598"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1598">
        <v>500000</v>
      </c>
      <c r="D1598">
        <v>421</v>
      </c>
    </row>
    <row r="1599" spans="1:4" x14ac:dyDescent="0.25">
      <c r="A1599" t="str">
        <f>T("   701090")</f>
        <v xml:space="preserve">   701090</v>
      </c>
      <c r="B1599" t="s">
        <v>348</v>
      </c>
      <c r="C1599">
        <v>502463390</v>
      </c>
      <c r="D1599">
        <v>1030135</v>
      </c>
    </row>
    <row r="1600" spans="1:4" x14ac:dyDescent="0.25">
      <c r="A1600" t="str">
        <f>T("   732394")</f>
        <v xml:space="preserve">   732394</v>
      </c>
      <c r="B1600" t="s">
        <v>389</v>
      </c>
      <c r="C1600">
        <v>900000</v>
      </c>
      <c r="D1600">
        <v>350</v>
      </c>
    </row>
    <row r="1601" spans="1:4" x14ac:dyDescent="0.25">
      <c r="A1601" t="str">
        <f>T("   760611")</f>
        <v xml:space="preserve">   760611</v>
      </c>
      <c r="B1601"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1601">
        <v>149574140</v>
      </c>
      <c r="D1601">
        <v>96552</v>
      </c>
    </row>
    <row r="1602" spans="1:4" x14ac:dyDescent="0.25">
      <c r="A1602" t="str">
        <f>T("   848360")</f>
        <v xml:space="preserve">   848360</v>
      </c>
      <c r="B1602" t="str">
        <f>T("   Embrayages et organes d'accouplement, y.c. les joints d'articulation, pour machines")</f>
        <v xml:space="preserve">   Embrayages et organes d'accouplement, y.c. les joints d'articulation, pour machines</v>
      </c>
      <c r="C1602">
        <v>201176</v>
      </c>
      <c r="D1602">
        <v>2.9</v>
      </c>
    </row>
    <row r="1603" spans="1:4" x14ac:dyDescent="0.25">
      <c r="A1603" t="str">
        <f>T("   853720")</f>
        <v xml:space="preserve">   853720</v>
      </c>
      <c r="B160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603">
        <v>201000</v>
      </c>
      <c r="D1603">
        <v>200</v>
      </c>
    </row>
    <row r="1604" spans="1:4" x14ac:dyDescent="0.25">
      <c r="A1604" t="str">
        <f>T("   870322")</f>
        <v xml:space="preserve">   870322</v>
      </c>
      <c r="B1604" t="s">
        <v>506</v>
      </c>
      <c r="C1604">
        <v>3908210</v>
      </c>
      <c r="D1604">
        <v>2144</v>
      </c>
    </row>
    <row r="1605" spans="1:4" x14ac:dyDescent="0.25">
      <c r="A1605" t="str">
        <f>T("   871120")</f>
        <v xml:space="preserve">   871120</v>
      </c>
      <c r="B1605" t="str">
        <f>T("   Motocycles à moteur à piston alternatif, cylindrée &gt; 50 cm³ mais &lt;= 250 cm³")</f>
        <v xml:space="preserve">   Motocycles à moteur à piston alternatif, cylindrée &gt; 50 cm³ mais &lt;= 250 cm³</v>
      </c>
      <c r="C1605">
        <v>490658</v>
      </c>
      <c r="D1605">
        <v>50</v>
      </c>
    </row>
    <row r="1606" spans="1:4" x14ac:dyDescent="0.25">
      <c r="A1606" t="str">
        <f>T("   903180")</f>
        <v xml:space="preserve">   903180</v>
      </c>
      <c r="B1606" t="str">
        <f>T("   INSTRUMENTS, APPAREILS ET MACHINES DE MESURE OU DE CONTRÔLE, NON-OPTIQUES, N.D.A. DANS LE PRÉSENT CHAPITRE")</f>
        <v xml:space="preserve">   INSTRUMENTS, APPAREILS ET MACHINES DE MESURE OU DE CONTRÔLE, NON-OPTIQUES, N.D.A. DANS LE PRÉSENT CHAPITRE</v>
      </c>
      <c r="C1606">
        <v>105516673</v>
      </c>
      <c r="D1606">
        <v>220</v>
      </c>
    </row>
    <row r="1607" spans="1:4" x14ac:dyDescent="0.25">
      <c r="A1607" t="str">
        <f>T("   940350")</f>
        <v xml:space="preserve">   940350</v>
      </c>
      <c r="B1607" t="str">
        <f>T("   Meubles pour chambres à coucher, en bois (sauf sièges)")</f>
        <v xml:space="preserve">   Meubles pour chambres à coucher, en bois (sauf sièges)</v>
      </c>
      <c r="C1607">
        <v>4000000</v>
      </c>
      <c r="D1607">
        <v>1500</v>
      </c>
    </row>
    <row r="1608" spans="1:4" x14ac:dyDescent="0.25">
      <c r="A1608" t="str">
        <f>T("   940360")</f>
        <v xml:space="preserve">   940360</v>
      </c>
      <c r="B1608" t="str">
        <f>T("   Meubles en bois (autres que pour bureaux, cuisines ou chambres à coucher et autres que sièges)")</f>
        <v xml:space="preserve">   Meubles en bois (autres que pour bureaux, cuisines ou chambres à coucher et autres que sièges)</v>
      </c>
      <c r="C1608">
        <v>7637818</v>
      </c>
      <c r="D1608">
        <v>5565</v>
      </c>
    </row>
    <row r="1609" spans="1:4" x14ac:dyDescent="0.25">
      <c r="A1609" t="str">
        <f>T("CN")</f>
        <v>CN</v>
      </c>
      <c r="B1609" t="str">
        <f>T("Chine")</f>
        <v>Chine</v>
      </c>
    </row>
    <row r="1610" spans="1:4" x14ac:dyDescent="0.25">
      <c r="A1610" t="str">
        <f>T("   ZZ_Total_Produit_SH6")</f>
        <v xml:space="preserve">   ZZ_Total_Produit_SH6</v>
      </c>
      <c r="B1610" t="str">
        <f>T("   ZZ_Total_Produit_SH6")</f>
        <v xml:space="preserve">   ZZ_Total_Produit_SH6</v>
      </c>
      <c r="C1610">
        <v>137628489917.55499</v>
      </c>
      <c r="D1610">
        <v>290097446.54000002</v>
      </c>
    </row>
    <row r="1611" spans="1:4" x14ac:dyDescent="0.25">
      <c r="A1611" t="str">
        <f>T("   020712")</f>
        <v xml:space="preserve">   020712</v>
      </c>
      <c r="B1611" t="str">
        <f>T("   COQS ET POULES [DES ESPÈCES DOMESTIQUES], NON-DÉCOUPÉS EN MORCEAUX, CONGELÉS")</f>
        <v xml:space="preserve">   COQS ET POULES [DES ESPÈCES DOMESTIQUES], NON-DÉCOUPÉS EN MORCEAUX, CONGELÉS</v>
      </c>
      <c r="C1611">
        <v>15550188</v>
      </c>
      <c r="D1611">
        <v>25000</v>
      </c>
    </row>
    <row r="1612" spans="1:4" x14ac:dyDescent="0.25">
      <c r="A1612" t="str">
        <f>T("   020714")</f>
        <v xml:space="preserve">   020714</v>
      </c>
      <c r="B1612" t="str">
        <f>T("   Morceaux et abats comestibles de coqs et de poules [des espèces domestiques], congelés")</f>
        <v xml:space="preserve">   Morceaux et abats comestibles de coqs et de poules [des espèces domestiques], congelés</v>
      </c>
      <c r="C1612">
        <v>31722038</v>
      </c>
      <c r="D1612">
        <v>52250</v>
      </c>
    </row>
    <row r="1613" spans="1:4" x14ac:dyDescent="0.25">
      <c r="A1613" t="str">
        <f>T("   030219")</f>
        <v xml:space="preserve">   030219</v>
      </c>
      <c r="B1613" t="str">
        <f>T("   Salmonidés, frais ou réfrigérés (à l'excl. des truites et des saumons du Pacifique, de l'Atlantique et du Danube)")</f>
        <v xml:space="preserve">   Salmonidés, frais ou réfrigérés (à l'excl. des truites et des saumons du Pacifique, de l'Atlantique et du Danube)</v>
      </c>
      <c r="C1613">
        <v>11251026</v>
      </c>
      <c r="D1613">
        <v>47360</v>
      </c>
    </row>
    <row r="1614" spans="1:4" x14ac:dyDescent="0.25">
      <c r="A1614" t="str">
        <f>T("   030229")</f>
        <v xml:space="preserve">   030229</v>
      </c>
      <c r="B1614"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614">
        <v>5625513</v>
      </c>
      <c r="D1614">
        <v>25000</v>
      </c>
    </row>
    <row r="1615" spans="1:4" x14ac:dyDescent="0.25">
      <c r="A1615" t="str">
        <f>T("   030261")</f>
        <v xml:space="preserve">   030261</v>
      </c>
      <c r="B1615" t="str">
        <f>T("   Sardines [Sardina pilchardus, Sardinops spp.], sardinelles 'Sardinella spp.', sprats ou esprots 'Sprattus sprattus', frais ou réfrigérés")</f>
        <v xml:space="preserve">   Sardines [Sardina pilchardus, Sardinops spp.], sardinelles 'Sardinella spp.', sprats ou esprots 'Sprattus sprattus', frais ou réfrigérés</v>
      </c>
      <c r="C1615">
        <v>8856089</v>
      </c>
      <c r="D1615">
        <v>15112</v>
      </c>
    </row>
    <row r="1616" spans="1:4" x14ac:dyDescent="0.25">
      <c r="A1616" t="str">
        <f>T("   030269")</f>
        <v xml:space="preserve">   030269</v>
      </c>
      <c r="B1616" t="s">
        <v>15</v>
      </c>
      <c r="C1616">
        <v>6300496</v>
      </c>
      <c r="D1616">
        <v>28350</v>
      </c>
    </row>
    <row r="1617" spans="1:4" x14ac:dyDescent="0.25">
      <c r="A1617" t="str">
        <f>T("   030371")</f>
        <v xml:space="preserve">   030371</v>
      </c>
      <c r="B1617" t="str">
        <f>T("   Sardines [Sardina pilchardus, Sardinops spp.], sardinelles [Sardinella spp.], sprats ou esprots [Sprattus sprattus], congelés")</f>
        <v xml:space="preserve">   Sardines [Sardina pilchardus, Sardinops spp.], sardinelles [Sardinella spp.], sprats ou esprots [Sprattus sprattus], congelés</v>
      </c>
      <c r="C1617">
        <v>14749000</v>
      </c>
      <c r="D1617">
        <v>44000</v>
      </c>
    </row>
    <row r="1618" spans="1:4" x14ac:dyDescent="0.25">
      <c r="A1618" t="str">
        <f>T("   030379")</f>
        <v xml:space="preserve">   030379</v>
      </c>
      <c r="B1618" t="s">
        <v>16</v>
      </c>
      <c r="C1618">
        <v>597716470</v>
      </c>
      <c r="D1618">
        <v>2664160</v>
      </c>
    </row>
    <row r="1619" spans="1:4" x14ac:dyDescent="0.25">
      <c r="A1619" t="str">
        <f>T("   040210")</f>
        <v xml:space="preserve">   040210</v>
      </c>
      <c r="B1619"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619">
        <v>81635390</v>
      </c>
      <c r="D1619">
        <v>53200</v>
      </c>
    </row>
    <row r="1620" spans="1:4" x14ac:dyDescent="0.25">
      <c r="A1620" t="str">
        <f>T("   040221")</f>
        <v xml:space="preserve">   040221</v>
      </c>
      <c r="B162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1620">
        <v>24500000</v>
      </c>
      <c r="D1620">
        <v>7840</v>
      </c>
    </row>
    <row r="1621" spans="1:4" x14ac:dyDescent="0.25">
      <c r="A1621" t="str">
        <f>T("   040299")</f>
        <v xml:space="preserve">   040299</v>
      </c>
      <c r="B1621"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621">
        <v>33719705</v>
      </c>
      <c r="D1621">
        <v>48000</v>
      </c>
    </row>
    <row r="1622" spans="1:4" x14ac:dyDescent="0.25">
      <c r="A1622" t="str">
        <f>T("   040510")</f>
        <v xml:space="preserve">   040510</v>
      </c>
      <c r="B1622" t="str">
        <f>T("   Beurre (sauf beurre déshydraté et ghee)")</f>
        <v xml:space="preserve">   Beurre (sauf beurre déshydraté et ghee)</v>
      </c>
      <c r="C1622">
        <v>100000</v>
      </c>
      <c r="D1622">
        <v>1650</v>
      </c>
    </row>
    <row r="1623" spans="1:4" x14ac:dyDescent="0.25">
      <c r="A1623" t="str">
        <f>T("   040690")</f>
        <v xml:space="preserve">   040690</v>
      </c>
      <c r="B1623" t="s">
        <v>19</v>
      </c>
      <c r="C1623">
        <v>50000</v>
      </c>
      <c r="D1623">
        <v>800</v>
      </c>
    </row>
    <row r="1624" spans="1:4" x14ac:dyDescent="0.25">
      <c r="A1624" t="str">
        <f>T("   051191")</f>
        <v xml:space="preserve">   051191</v>
      </c>
      <c r="B1624" t="str">
        <f>T("   Produits de poissons ou de crustacés, mollusques ou autres invertébrés aquatiques; poissons, crustacés, mollusques ou autres invertébrés aquatiques, morts, impropres à l'alimentation humaine")</f>
        <v xml:space="preserve">   Produits de poissons ou de crustacés, mollusques ou autres invertébrés aquatiques; poissons, crustacés, mollusques ou autres invertébrés aquatiques, morts, impropres à l'alimentation humaine</v>
      </c>
      <c r="C1624">
        <v>6000000</v>
      </c>
      <c r="D1624">
        <v>54900</v>
      </c>
    </row>
    <row r="1625" spans="1:4" x14ac:dyDescent="0.25">
      <c r="A1625" t="str">
        <f>T("   070310")</f>
        <v xml:space="preserve">   070310</v>
      </c>
      <c r="B1625" t="str">
        <f>T("   Oignons et échalotes, à l'état frais ou réfrigéré")</f>
        <v xml:space="preserve">   Oignons et échalotes, à l'état frais ou réfrigéré</v>
      </c>
      <c r="C1625">
        <v>7864960</v>
      </c>
      <c r="D1625">
        <v>55078</v>
      </c>
    </row>
    <row r="1626" spans="1:4" x14ac:dyDescent="0.25">
      <c r="A1626" t="str">
        <f>T("   070320")</f>
        <v xml:space="preserve">   070320</v>
      </c>
      <c r="B1626" t="str">
        <f>T("   Aulx, à l'état frais ou réfrigéré")</f>
        <v xml:space="preserve">   Aulx, à l'état frais ou réfrigéré</v>
      </c>
      <c r="C1626">
        <v>84875850</v>
      </c>
      <c r="D1626">
        <v>575000</v>
      </c>
    </row>
    <row r="1627" spans="1:4" x14ac:dyDescent="0.25">
      <c r="A1627" t="str">
        <f>T("   080810")</f>
        <v xml:space="preserve">   080810</v>
      </c>
      <c r="B1627" t="str">
        <f>T("   Pommes, fraîches")</f>
        <v xml:space="preserve">   Pommes, fraîches</v>
      </c>
      <c r="C1627">
        <v>25360810</v>
      </c>
      <c r="D1627">
        <v>120454</v>
      </c>
    </row>
    <row r="1628" spans="1:4" x14ac:dyDescent="0.25">
      <c r="A1628" t="str">
        <f>T("   081340")</f>
        <v xml:space="preserve">   081340</v>
      </c>
      <c r="B1628"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1628">
        <v>41563</v>
      </c>
      <c r="D1628">
        <v>20</v>
      </c>
    </row>
    <row r="1629" spans="1:4" x14ac:dyDescent="0.25">
      <c r="A1629" t="str">
        <f>T("   090111")</f>
        <v xml:space="preserve">   090111</v>
      </c>
      <c r="B1629" t="str">
        <f>T("   Café, non torréfié, non décaféiné")</f>
        <v xml:space="preserve">   Café, non torréfié, non décaféiné</v>
      </c>
      <c r="C1629">
        <v>1157508</v>
      </c>
      <c r="D1629">
        <v>7220</v>
      </c>
    </row>
    <row r="1630" spans="1:4" x14ac:dyDescent="0.25">
      <c r="A1630" t="str">
        <f>T("   090190")</f>
        <v xml:space="preserve">   090190</v>
      </c>
      <c r="B1630" t="str">
        <f>T("   Coques et pellicules de café; succédanés du café contenant du café, quelles que soient les proportions du mélange")</f>
        <v xml:space="preserve">   Coques et pellicules de café; succédanés du café contenant du café, quelles que soient les proportions du mélange</v>
      </c>
      <c r="C1630">
        <v>18392290</v>
      </c>
      <c r="D1630">
        <v>41140</v>
      </c>
    </row>
    <row r="1631" spans="1:4" x14ac:dyDescent="0.25">
      <c r="A1631" t="str">
        <f>T("   090210")</f>
        <v xml:space="preserve">   090210</v>
      </c>
      <c r="B1631" t="str">
        <f>T("   Thé vert [thé non fermenté], présenté en emballages immédiats d'un contenu &lt;= 3 kg")</f>
        <v xml:space="preserve">   Thé vert [thé non fermenté], présenté en emballages immédiats d'un contenu &lt;= 3 kg</v>
      </c>
      <c r="C1631">
        <v>22809885</v>
      </c>
      <c r="D1631">
        <v>36777</v>
      </c>
    </row>
    <row r="1632" spans="1:4" x14ac:dyDescent="0.25">
      <c r="A1632" t="str">
        <f>T("   090220")</f>
        <v xml:space="preserve">   090220</v>
      </c>
      <c r="B1632" t="str">
        <f>T("   Thé vert [thé non fermenté], présenté en emballages immédiats d'un contenu &gt; 3 kg")</f>
        <v xml:space="preserve">   Thé vert [thé non fermenté], présenté en emballages immédiats d'un contenu &gt; 3 kg</v>
      </c>
      <c r="C1632">
        <v>30829278</v>
      </c>
      <c r="D1632">
        <v>68733</v>
      </c>
    </row>
    <row r="1633" spans="1:4" x14ac:dyDescent="0.25">
      <c r="A1633" t="str">
        <f>T("   090230")</f>
        <v xml:space="preserve">   090230</v>
      </c>
      <c r="B1633" t="s">
        <v>27</v>
      </c>
      <c r="C1633">
        <v>581879</v>
      </c>
      <c r="D1633">
        <v>396</v>
      </c>
    </row>
    <row r="1634" spans="1:4" x14ac:dyDescent="0.25">
      <c r="A1634" t="str">
        <f>T("   090240")</f>
        <v xml:space="preserve">   090240</v>
      </c>
      <c r="B1634" t="s">
        <v>28</v>
      </c>
      <c r="C1634">
        <v>1892000</v>
      </c>
      <c r="D1634">
        <v>12071</v>
      </c>
    </row>
    <row r="1635" spans="1:4" x14ac:dyDescent="0.25">
      <c r="A1635" t="str">
        <f>T("   090412")</f>
        <v xml:space="preserve">   090412</v>
      </c>
      <c r="B1635" t="str">
        <f>T("   Poivre du genre 'Piper', broyé ou pulvérisé")</f>
        <v xml:space="preserve">   Poivre du genre 'Piper', broyé ou pulvérisé</v>
      </c>
      <c r="C1635">
        <v>16225000</v>
      </c>
      <c r="D1635">
        <v>26147</v>
      </c>
    </row>
    <row r="1636" spans="1:4" x14ac:dyDescent="0.25">
      <c r="A1636" t="str">
        <f>T("   100630")</f>
        <v xml:space="preserve">   100630</v>
      </c>
      <c r="B1636" t="str">
        <f>T("   Riz semi-blanchi ou blanchi, même poli ou glacé")</f>
        <v xml:space="preserve">   Riz semi-blanchi ou blanchi, même poli ou glacé</v>
      </c>
      <c r="C1636">
        <v>2518854785.1680002</v>
      </c>
      <c r="D1636">
        <v>8995835</v>
      </c>
    </row>
    <row r="1637" spans="1:4" x14ac:dyDescent="0.25">
      <c r="A1637" t="str">
        <f>T("   100640")</f>
        <v xml:space="preserve">   100640</v>
      </c>
      <c r="B1637" t="str">
        <f>T("   Riz en brisures")</f>
        <v xml:space="preserve">   Riz en brisures</v>
      </c>
      <c r="C1637">
        <v>390832800</v>
      </c>
      <c r="D1637">
        <v>3905350</v>
      </c>
    </row>
    <row r="1638" spans="1:4" x14ac:dyDescent="0.25">
      <c r="A1638" t="str">
        <f>T("   110290")</f>
        <v xml:space="preserve">   110290</v>
      </c>
      <c r="B1638" t="str">
        <f>T("   FARINES DE CÉRÉALES (À L'EXCL. DES FARINES DE FROMENT [BLÉ], DE MÉTEIL, DE SEIGLE ET DE MAÏS)")</f>
        <v xml:space="preserve">   FARINES DE CÉRÉALES (À L'EXCL. DES FARINES DE FROMENT [BLÉ], DE MÉTEIL, DE SEIGLE ET DE MAÏS)</v>
      </c>
      <c r="C1638">
        <v>218576</v>
      </c>
      <c r="D1638">
        <v>1250</v>
      </c>
    </row>
    <row r="1639" spans="1:4" x14ac:dyDescent="0.25">
      <c r="A1639" t="str">
        <f>T("   130190")</f>
        <v xml:space="preserve">   130190</v>
      </c>
      <c r="B1639" t="str">
        <f>T("   Gommes, résines, gommes-résines, baumes et autres oléorésines, naturelles (à l'excl. de la gomme arabique)")</f>
        <v xml:space="preserve">   Gommes, résines, gommes-résines, baumes et autres oléorésines, naturelles (à l'excl. de la gomme arabique)</v>
      </c>
      <c r="C1639">
        <v>66607</v>
      </c>
      <c r="D1639">
        <v>150</v>
      </c>
    </row>
    <row r="1640" spans="1:4" x14ac:dyDescent="0.25">
      <c r="A1640" t="str">
        <f>T("   150890")</f>
        <v xml:space="preserve">   150890</v>
      </c>
      <c r="B1640" t="str">
        <f>T("   Huile d'arachide et ses fractions, même raffinées, mais non chimiquement modifiées (à l'excl. de l'huile d'arachide brute)")</f>
        <v xml:space="preserve">   Huile d'arachide et ses fractions, même raffinées, mais non chimiquement modifiées (à l'excl. de l'huile d'arachide brute)</v>
      </c>
      <c r="C1640">
        <v>26291801.565000001</v>
      </c>
      <c r="D1640">
        <v>66000</v>
      </c>
    </row>
    <row r="1641" spans="1:4" x14ac:dyDescent="0.25">
      <c r="A1641" t="str">
        <f>T("   151190")</f>
        <v xml:space="preserve">   151190</v>
      </c>
      <c r="B1641" t="str">
        <f>T("   Huile de palme et ses fractions, même raffinées, mais non chimiquement modifiées (à l'excl. de l'huile de palme brute)")</f>
        <v xml:space="preserve">   Huile de palme et ses fractions, même raffinées, mais non chimiquement modifiées (à l'excl. de l'huile de palme brute)</v>
      </c>
      <c r="C1641">
        <v>76964316.434</v>
      </c>
      <c r="D1641">
        <v>200165</v>
      </c>
    </row>
    <row r="1642" spans="1:4" x14ac:dyDescent="0.25">
      <c r="A1642" t="str">
        <f>T("   151620")</f>
        <v xml:space="preserve">   151620</v>
      </c>
      <c r="B164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642">
        <v>356736985</v>
      </c>
      <c r="D1642">
        <v>1455826</v>
      </c>
    </row>
    <row r="1643" spans="1:4" x14ac:dyDescent="0.25">
      <c r="A1643" t="str">
        <f>T("   151710")</f>
        <v xml:space="preserve">   151710</v>
      </c>
      <c r="B1643" t="str">
        <f>T("   Margarine (à l'excl. de la margarine liquide)")</f>
        <v xml:space="preserve">   Margarine (à l'excl. de la margarine liquide)</v>
      </c>
      <c r="C1643">
        <v>25372779</v>
      </c>
      <c r="D1643">
        <v>78000</v>
      </c>
    </row>
    <row r="1644" spans="1:4" x14ac:dyDescent="0.25">
      <c r="A1644" t="str">
        <f>T("   160100")</f>
        <v xml:space="preserve">   160100</v>
      </c>
      <c r="B1644" t="str">
        <f>T("   Saucisses, saucissons et produits simil., de viande, d'abats ou de sang; préparations alimentaires à base de ces produits")</f>
        <v xml:space="preserve">   Saucisses, saucissons et produits simil., de viande, d'abats ou de sang; préparations alimentaires à base de ces produits</v>
      </c>
      <c r="C1644">
        <v>3000000</v>
      </c>
      <c r="D1644">
        <v>11200</v>
      </c>
    </row>
    <row r="1645" spans="1:4" x14ac:dyDescent="0.25">
      <c r="A1645" t="str">
        <f>T("   160249")</f>
        <v xml:space="preserve">   160249</v>
      </c>
      <c r="B1645" t="s">
        <v>42</v>
      </c>
      <c r="C1645">
        <v>1047595</v>
      </c>
      <c r="D1645">
        <v>405</v>
      </c>
    </row>
    <row r="1646" spans="1:4" x14ac:dyDescent="0.25">
      <c r="A1646" t="str">
        <f>T("   160413")</f>
        <v xml:space="preserve">   160413</v>
      </c>
      <c r="B164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646">
        <v>38447609</v>
      </c>
      <c r="D1646">
        <v>99220</v>
      </c>
    </row>
    <row r="1647" spans="1:4" x14ac:dyDescent="0.25">
      <c r="A1647" t="str">
        <f>T("   160414")</f>
        <v xml:space="preserve">   160414</v>
      </c>
      <c r="B1647"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1647">
        <v>14920</v>
      </c>
      <c r="D1647">
        <v>5</v>
      </c>
    </row>
    <row r="1648" spans="1:4" x14ac:dyDescent="0.25">
      <c r="A1648" t="str">
        <f>T("   160415")</f>
        <v xml:space="preserve">   160415</v>
      </c>
      <c r="B1648"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1648">
        <v>4369198</v>
      </c>
      <c r="D1648">
        <v>19136</v>
      </c>
    </row>
    <row r="1649" spans="1:4" x14ac:dyDescent="0.25">
      <c r="A1649" t="str">
        <f>T("   160419")</f>
        <v xml:space="preserve">   160419</v>
      </c>
      <c r="B1649" t="s">
        <v>45</v>
      </c>
      <c r="C1649">
        <v>6554352</v>
      </c>
      <c r="D1649">
        <v>42104</v>
      </c>
    </row>
    <row r="1650" spans="1:4" x14ac:dyDescent="0.25">
      <c r="A1650" t="str">
        <f>T("   160420")</f>
        <v xml:space="preserve">   160420</v>
      </c>
      <c r="B1650" t="str">
        <f>T("   Préparations et conserves de poissons (à l'excl. des préparations et conserves de poissons entiers ou en morceaux)")</f>
        <v xml:space="preserve">   Préparations et conserves de poissons (à l'excl. des préparations et conserves de poissons entiers ou en morceaux)</v>
      </c>
      <c r="C1650">
        <v>7637000</v>
      </c>
      <c r="D1650">
        <v>22500</v>
      </c>
    </row>
    <row r="1651" spans="1:4" x14ac:dyDescent="0.25">
      <c r="A1651" t="str">
        <f>T("   170191")</f>
        <v xml:space="preserve">   170191</v>
      </c>
      <c r="B1651" t="str">
        <f>T("   Sucres de canne ou de betterave, à l'état solide, additionnés d'aromatisants ou de colorants")</f>
        <v xml:space="preserve">   Sucres de canne ou de betterave, à l'état solide, additionnés d'aromatisants ou de colorants</v>
      </c>
      <c r="C1651">
        <v>16334684.925000001</v>
      </c>
      <c r="D1651">
        <v>55000</v>
      </c>
    </row>
    <row r="1652" spans="1:4" x14ac:dyDescent="0.25">
      <c r="A1652" t="str">
        <f>T("   170199")</f>
        <v xml:space="preserve">   170199</v>
      </c>
      <c r="B165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652">
        <v>209815275.46200001</v>
      </c>
      <c r="D1652">
        <v>682280</v>
      </c>
    </row>
    <row r="1653" spans="1:4" x14ac:dyDescent="0.25">
      <c r="A1653" t="str">
        <f>T("   170410")</f>
        <v xml:space="preserve">   170410</v>
      </c>
      <c r="B1653" t="str">
        <f>T("   Gommes à mâcher [chewing-gum], même enrobées de sucre")</f>
        <v xml:space="preserve">   Gommes à mâcher [chewing-gum], même enrobées de sucre</v>
      </c>
      <c r="C1653">
        <v>110142425</v>
      </c>
      <c r="D1653">
        <v>630028</v>
      </c>
    </row>
    <row r="1654" spans="1:4" x14ac:dyDescent="0.25">
      <c r="A1654" t="str">
        <f>T("   170490")</f>
        <v xml:space="preserve">   170490</v>
      </c>
      <c r="B1654" t="str">
        <f>T("   Sucreries sans cacao, y.c. le chocolat blanc (à l'excl. des gommes à mâcher)")</f>
        <v xml:space="preserve">   Sucreries sans cacao, y.c. le chocolat blanc (à l'excl. des gommes à mâcher)</v>
      </c>
      <c r="C1654">
        <v>941279779</v>
      </c>
      <c r="D1654">
        <v>3892633</v>
      </c>
    </row>
    <row r="1655" spans="1:4" x14ac:dyDescent="0.25">
      <c r="A1655" t="str">
        <f>T("   180200")</f>
        <v xml:space="preserve">   180200</v>
      </c>
      <c r="B1655" t="str">
        <f>T("   Coques, pellicules [pelures] et autres déchets de cacao")</f>
        <v xml:space="preserve">   Coques, pellicules [pelures] et autres déchets de cacao</v>
      </c>
      <c r="C1655">
        <v>8741965</v>
      </c>
      <c r="D1655">
        <v>59170</v>
      </c>
    </row>
    <row r="1656" spans="1:4" x14ac:dyDescent="0.25">
      <c r="A1656" t="str">
        <f>T("   180500")</f>
        <v xml:space="preserve">   180500</v>
      </c>
      <c r="B1656" t="str">
        <f>T("   Poudre de cacao, sans addition de sucre ou d'autres édulcorants")</f>
        <v xml:space="preserve">   Poudre de cacao, sans addition de sucre ou d'autres édulcorants</v>
      </c>
      <c r="C1656">
        <v>682854</v>
      </c>
      <c r="D1656">
        <v>237</v>
      </c>
    </row>
    <row r="1657" spans="1:4" x14ac:dyDescent="0.25">
      <c r="A1657" t="str">
        <f>T("   180610")</f>
        <v xml:space="preserve">   180610</v>
      </c>
      <c r="B1657" t="str">
        <f>T("   Poudre de cacao, additionnée de sucre ou d'autres édulcorants")</f>
        <v xml:space="preserve">   Poudre de cacao, additionnée de sucre ou d'autres édulcorants</v>
      </c>
      <c r="C1657">
        <v>6087000</v>
      </c>
      <c r="D1657">
        <v>29064</v>
      </c>
    </row>
    <row r="1658" spans="1:4" x14ac:dyDescent="0.25">
      <c r="A1658" t="str">
        <f>T("   180620")</f>
        <v xml:space="preserve">   180620</v>
      </c>
      <c r="B1658" t="s">
        <v>47</v>
      </c>
      <c r="C1658">
        <v>6518000</v>
      </c>
      <c r="D1658">
        <v>34480</v>
      </c>
    </row>
    <row r="1659" spans="1:4" x14ac:dyDescent="0.25">
      <c r="A1659" t="str">
        <f>T("   180690")</f>
        <v xml:space="preserve">   180690</v>
      </c>
      <c r="B165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659">
        <v>11805000</v>
      </c>
      <c r="D1659">
        <v>48146</v>
      </c>
    </row>
    <row r="1660" spans="1:4" x14ac:dyDescent="0.25">
      <c r="A1660" t="str">
        <f>T("   190110")</f>
        <v xml:space="preserve">   190110</v>
      </c>
      <c r="B1660" t="s">
        <v>48</v>
      </c>
      <c r="C1660">
        <v>39279659</v>
      </c>
      <c r="D1660">
        <v>74106</v>
      </c>
    </row>
    <row r="1661" spans="1:4" x14ac:dyDescent="0.25">
      <c r="A1661" t="str">
        <f>T("   190190")</f>
        <v xml:space="preserve">   190190</v>
      </c>
      <c r="B1661" t="s">
        <v>50</v>
      </c>
      <c r="C1661">
        <v>487232587</v>
      </c>
      <c r="D1661">
        <v>1976464</v>
      </c>
    </row>
    <row r="1662" spans="1:4" x14ac:dyDescent="0.25">
      <c r="A1662" t="str">
        <f>T("   190219")</f>
        <v xml:space="preserve">   190219</v>
      </c>
      <c r="B1662" t="str">
        <f>T("   PÂTES ALIMENTAIRES NON-CUITES NI FARCIES NI AUTREMENT PRÉPARÉES, NE CONTENANT PAS D'OEUFS")</f>
        <v xml:space="preserve">   PÂTES ALIMENTAIRES NON-CUITES NI FARCIES NI AUTREMENT PRÉPARÉES, NE CONTENANT PAS D'OEUFS</v>
      </c>
      <c r="C1662">
        <v>34072590</v>
      </c>
      <c r="D1662">
        <v>189840</v>
      </c>
    </row>
    <row r="1663" spans="1:4" x14ac:dyDescent="0.25">
      <c r="A1663" t="str">
        <f>T("   190220")</f>
        <v xml:space="preserve">   190220</v>
      </c>
      <c r="B1663" t="str">
        <f>T("   Pâtes alimentaires, farcies de viande ou d'autres substances, même cuites ou autrement préparées")</f>
        <v xml:space="preserve">   Pâtes alimentaires, farcies de viande ou d'autres substances, même cuites ou autrement préparées</v>
      </c>
      <c r="C1663">
        <v>38114381</v>
      </c>
      <c r="D1663">
        <v>267951</v>
      </c>
    </row>
    <row r="1664" spans="1:4" x14ac:dyDescent="0.25">
      <c r="A1664" t="str">
        <f>T("   190230")</f>
        <v xml:space="preserve">   190230</v>
      </c>
      <c r="B1664" t="str">
        <f>T("   Pâtes alimentaires, cuites ou autrement préparées (à l'excl. des pâtes alimentaires farcies)")</f>
        <v xml:space="preserve">   Pâtes alimentaires, cuites ou autrement préparées (à l'excl. des pâtes alimentaires farcies)</v>
      </c>
      <c r="C1664">
        <v>70160570</v>
      </c>
      <c r="D1664">
        <v>388173</v>
      </c>
    </row>
    <row r="1665" spans="1:4" x14ac:dyDescent="0.25">
      <c r="A1665" t="str">
        <f>T("   190240")</f>
        <v xml:space="preserve">   190240</v>
      </c>
      <c r="B1665" t="str">
        <f>T("   Couscous, même préparé")</f>
        <v xml:space="preserve">   Couscous, même préparé</v>
      </c>
      <c r="C1665">
        <v>10726000</v>
      </c>
      <c r="D1665">
        <v>59500</v>
      </c>
    </row>
    <row r="1666" spans="1:4" x14ac:dyDescent="0.25">
      <c r="A1666" t="str">
        <f>T("   190300")</f>
        <v xml:space="preserve">   190300</v>
      </c>
      <c r="B1666" t="str">
        <f>T("   Tapioca et ses succédanés préparés à partir de fécules, sous forme de flocons, grumeaux, grains perlés, criblures ou formes simil.")</f>
        <v xml:space="preserve">   Tapioca et ses succédanés préparés à partir de fécules, sous forme de flocons, grumeaux, grains perlés, criblures ou formes simil.</v>
      </c>
      <c r="C1666">
        <v>588396</v>
      </c>
      <c r="D1666">
        <v>239</v>
      </c>
    </row>
    <row r="1667" spans="1:4" x14ac:dyDescent="0.25">
      <c r="A1667" t="str">
        <f>T("   190490")</f>
        <v xml:space="preserve">   190490</v>
      </c>
      <c r="B1667" t="s">
        <v>51</v>
      </c>
      <c r="C1667">
        <v>5400000</v>
      </c>
      <c r="D1667">
        <v>20000</v>
      </c>
    </row>
    <row r="1668" spans="1:4" x14ac:dyDescent="0.25">
      <c r="A1668" t="str">
        <f>T("   190531")</f>
        <v xml:space="preserve">   190531</v>
      </c>
      <c r="B1668" t="str">
        <f>T("   Biscuits additionnés d'édulcorants")</f>
        <v xml:space="preserve">   Biscuits additionnés d'édulcorants</v>
      </c>
      <c r="C1668">
        <v>80251849</v>
      </c>
      <c r="D1668">
        <v>223326.7</v>
      </c>
    </row>
    <row r="1669" spans="1:4" x14ac:dyDescent="0.25">
      <c r="A1669" t="str">
        <f>T("   190590")</f>
        <v xml:space="preserve">   190590</v>
      </c>
      <c r="B1669" t="s">
        <v>52</v>
      </c>
      <c r="C1669">
        <v>58658106</v>
      </c>
      <c r="D1669">
        <v>243973</v>
      </c>
    </row>
    <row r="1670" spans="1:4" x14ac:dyDescent="0.25">
      <c r="A1670" t="str">
        <f>T("   200190")</f>
        <v xml:space="preserve">   200190</v>
      </c>
      <c r="B1670"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1670">
        <v>37601000</v>
      </c>
      <c r="D1670">
        <v>93549</v>
      </c>
    </row>
    <row r="1671" spans="1:4" x14ac:dyDescent="0.25">
      <c r="A1671" t="str">
        <f>T("   200290")</f>
        <v xml:space="preserve">   200290</v>
      </c>
      <c r="B167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671">
        <v>2712585036</v>
      </c>
      <c r="D1671">
        <v>11511857</v>
      </c>
    </row>
    <row r="1672" spans="1:4" x14ac:dyDescent="0.25">
      <c r="A1672" t="str">
        <f>T("   200310")</f>
        <v xml:space="preserve">   200310</v>
      </c>
      <c r="B1672" t="str">
        <f>T("   Champignons du genre 'Agaricus', préparés ou conservés autrement qu'au vinaigre ou à l'acide acétique")</f>
        <v xml:space="preserve">   Champignons du genre 'Agaricus', préparés ou conservés autrement qu'au vinaigre ou à l'acide acétique</v>
      </c>
      <c r="C1672">
        <v>1325213</v>
      </c>
      <c r="D1672">
        <v>5680</v>
      </c>
    </row>
    <row r="1673" spans="1:4" x14ac:dyDescent="0.25">
      <c r="A1673" t="str">
        <f>T("   200390")</f>
        <v xml:space="preserve">   200390</v>
      </c>
      <c r="B1673"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1673">
        <v>606475</v>
      </c>
      <c r="D1673">
        <v>2600</v>
      </c>
    </row>
    <row r="1674" spans="1:4" x14ac:dyDescent="0.25">
      <c r="A1674" t="str">
        <f>T("   200490")</f>
        <v xml:space="preserve">   200490</v>
      </c>
      <c r="B1674"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1674">
        <v>2563038</v>
      </c>
      <c r="D1674">
        <v>15300</v>
      </c>
    </row>
    <row r="1675" spans="1:4" x14ac:dyDescent="0.25">
      <c r="A1675" t="str">
        <f>T("   200540")</f>
        <v xml:space="preserve">   200540</v>
      </c>
      <c r="B1675" t="str">
        <f>T("   Pois [Pisum sativum], préparés ou conservés autrement qu'au vinaigre ou à l'acide acétique, non congelés")</f>
        <v xml:space="preserve">   Pois [Pisum sativum], préparés ou conservés autrement qu'au vinaigre ou à l'acide acétique, non congelés</v>
      </c>
      <c r="C1675">
        <v>6054510</v>
      </c>
      <c r="D1675">
        <v>43200</v>
      </c>
    </row>
    <row r="1676" spans="1:4" x14ac:dyDescent="0.25">
      <c r="A1676" t="str">
        <f>T("   200559")</f>
        <v xml:space="preserve">   200559</v>
      </c>
      <c r="B1676"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1676">
        <v>35969744</v>
      </c>
      <c r="D1676">
        <v>364720</v>
      </c>
    </row>
    <row r="1677" spans="1:4" x14ac:dyDescent="0.25">
      <c r="A1677" t="str">
        <f>T("   200580")</f>
        <v xml:space="preserve">   200580</v>
      </c>
      <c r="B1677" t="str">
        <f>T("   Maïs doux [Zea mays var. saccharata], préparé ou conservé autrement qu'au vinaigre ou à l'acide acétique, non congelé")</f>
        <v xml:space="preserve">   Maïs doux [Zea mays var. saccharata], préparé ou conservé autrement qu'au vinaigre ou à l'acide acétique, non congelé</v>
      </c>
      <c r="C1677">
        <v>6595046</v>
      </c>
      <c r="D1677">
        <v>40880</v>
      </c>
    </row>
    <row r="1678" spans="1:4" x14ac:dyDescent="0.25">
      <c r="A1678" t="str">
        <f>T("   200590")</f>
        <v xml:space="preserve">   200590</v>
      </c>
      <c r="B1678" t="s">
        <v>53</v>
      </c>
      <c r="C1678">
        <v>1614555</v>
      </c>
      <c r="D1678">
        <v>624</v>
      </c>
    </row>
    <row r="1679" spans="1:4" x14ac:dyDescent="0.25">
      <c r="A1679" t="str">
        <f>T("   200599")</f>
        <v xml:space="preserve">   200599</v>
      </c>
      <c r="B1679" t="s">
        <v>53</v>
      </c>
      <c r="C1679">
        <v>2998381</v>
      </c>
      <c r="D1679">
        <v>14200</v>
      </c>
    </row>
    <row r="1680" spans="1:4" x14ac:dyDescent="0.25">
      <c r="A1680" t="str">
        <f>T("   200979")</f>
        <v xml:space="preserve">   200979</v>
      </c>
      <c r="B1680"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680">
        <v>3955169</v>
      </c>
      <c r="D1680">
        <v>20070</v>
      </c>
    </row>
    <row r="1681" spans="1:4" x14ac:dyDescent="0.25">
      <c r="A1681" t="str">
        <f>T("   200980")</f>
        <v xml:space="preserve">   200980</v>
      </c>
      <c r="B1681"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681">
        <v>8018570</v>
      </c>
      <c r="D1681">
        <v>51643</v>
      </c>
    </row>
    <row r="1682" spans="1:4" x14ac:dyDescent="0.25">
      <c r="A1682" t="str">
        <f>T("   210220")</f>
        <v xml:space="preserve">   210220</v>
      </c>
      <c r="B1682"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1682">
        <v>71191375</v>
      </c>
      <c r="D1682">
        <v>151181</v>
      </c>
    </row>
    <row r="1683" spans="1:4" x14ac:dyDescent="0.25">
      <c r="A1683" t="str">
        <f>T("   210230")</f>
        <v xml:space="preserve">   210230</v>
      </c>
      <c r="B1683" t="str">
        <f>T("   Poudres à lever préparées")</f>
        <v xml:space="preserve">   Poudres à lever préparées</v>
      </c>
      <c r="C1683">
        <v>17277045</v>
      </c>
      <c r="D1683">
        <v>104600</v>
      </c>
    </row>
    <row r="1684" spans="1:4" x14ac:dyDescent="0.25">
      <c r="A1684" t="str">
        <f>T("   210330")</f>
        <v xml:space="preserve">   210330</v>
      </c>
      <c r="B1684" t="str">
        <f>T("   Farine de moutarde et moutarde préparée")</f>
        <v xml:space="preserve">   Farine de moutarde et moutarde préparée</v>
      </c>
      <c r="C1684">
        <v>8554000</v>
      </c>
      <c r="D1684">
        <v>85480</v>
      </c>
    </row>
    <row r="1685" spans="1:4" x14ac:dyDescent="0.25">
      <c r="A1685" t="str">
        <f>T("   210390")</f>
        <v xml:space="preserve">   210390</v>
      </c>
      <c r="B168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685">
        <v>204500479</v>
      </c>
      <c r="D1685">
        <v>693685</v>
      </c>
    </row>
    <row r="1686" spans="1:4" x14ac:dyDescent="0.25">
      <c r="A1686" t="str">
        <f>T("   210410")</f>
        <v xml:space="preserve">   210410</v>
      </c>
      <c r="B1686" t="str">
        <f>T("   Préparations pour soupes, potages ou bouillons; soupes, potages ou bouillons préparés")</f>
        <v xml:space="preserve">   Préparations pour soupes, potages ou bouillons; soupes, potages ou bouillons préparés</v>
      </c>
      <c r="C1686">
        <v>1524353205</v>
      </c>
      <c r="D1686">
        <v>4679670</v>
      </c>
    </row>
    <row r="1687" spans="1:4" x14ac:dyDescent="0.25">
      <c r="A1687" t="str">
        <f>T("   210690")</f>
        <v xml:space="preserve">   210690</v>
      </c>
      <c r="B1687" t="str">
        <f>T("   Préparations alimentaires, n.d.a.")</f>
        <v xml:space="preserve">   Préparations alimentaires, n.d.a.</v>
      </c>
      <c r="C1687">
        <v>43967609</v>
      </c>
      <c r="D1687">
        <v>18328</v>
      </c>
    </row>
    <row r="1688" spans="1:4" x14ac:dyDescent="0.25">
      <c r="A1688" t="str">
        <f>T("   220210")</f>
        <v xml:space="preserve">   220210</v>
      </c>
      <c r="B1688"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688">
        <v>13438718</v>
      </c>
      <c r="D1688">
        <v>114849</v>
      </c>
    </row>
    <row r="1689" spans="1:4" x14ac:dyDescent="0.25">
      <c r="A1689" t="str">
        <f>T("   220290")</f>
        <v xml:space="preserve">   220290</v>
      </c>
      <c r="B1689" t="str">
        <f>T("   BOISSONS NON-ALCOOLIQUES (À L'EXCL. DES EAUX, DES JUS DE FRUITS OU DE LÉGUMES AINSI QUE DU LAIT)")</f>
        <v xml:space="preserve">   BOISSONS NON-ALCOOLIQUES (À L'EXCL. DES EAUX, DES JUS DE FRUITS OU DE LÉGUMES AINSI QUE DU LAIT)</v>
      </c>
      <c r="C1689">
        <v>68740435</v>
      </c>
      <c r="D1689">
        <v>511075</v>
      </c>
    </row>
    <row r="1690" spans="1:4" x14ac:dyDescent="0.25">
      <c r="A1690" t="str">
        <f>T("   220300")</f>
        <v xml:space="preserve">   220300</v>
      </c>
      <c r="B1690" t="str">
        <f>T("   Bières de malt")</f>
        <v xml:space="preserve">   Bières de malt</v>
      </c>
      <c r="C1690">
        <v>18528109</v>
      </c>
      <c r="D1690">
        <v>65750</v>
      </c>
    </row>
    <row r="1691" spans="1:4" x14ac:dyDescent="0.25">
      <c r="A1691" t="str">
        <f>T("   220410")</f>
        <v xml:space="preserve">   220410</v>
      </c>
      <c r="B1691" t="str">
        <f>T("   Vins mousseux produits à partir de raisins frais")</f>
        <v xml:space="preserve">   Vins mousseux produits à partir de raisins frais</v>
      </c>
      <c r="C1691">
        <v>893863</v>
      </c>
      <c r="D1691">
        <v>3500</v>
      </c>
    </row>
    <row r="1692" spans="1:4" x14ac:dyDescent="0.25">
      <c r="A1692" t="str">
        <f>T("   220510")</f>
        <v xml:space="preserve">   220510</v>
      </c>
      <c r="B1692"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1692">
        <v>9077064</v>
      </c>
      <c r="D1692">
        <v>84178</v>
      </c>
    </row>
    <row r="1693" spans="1:4" x14ac:dyDescent="0.25">
      <c r="A1693" t="str">
        <f>T("   220600")</f>
        <v xml:space="preserve">   220600</v>
      </c>
      <c r="B1693" t="s">
        <v>60</v>
      </c>
      <c r="C1693">
        <v>3989626</v>
      </c>
      <c r="D1693">
        <v>21949</v>
      </c>
    </row>
    <row r="1694" spans="1:4" x14ac:dyDescent="0.25">
      <c r="A1694" t="str">
        <f>T("   220710")</f>
        <v xml:space="preserve">   220710</v>
      </c>
      <c r="B1694" t="str">
        <f>T("   Alcool éthylique non dénaturé d'un titre alcoométrique volumique &gt;= 80% vol")</f>
        <v xml:space="preserve">   Alcool éthylique non dénaturé d'un titre alcoométrique volumique &gt;= 80% vol</v>
      </c>
      <c r="C1694">
        <v>500000</v>
      </c>
      <c r="D1694">
        <v>1400</v>
      </c>
    </row>
    <row r="1695" spans="1:4" x14ac:dyDescent="0.25">
      <c r="A1695" t="str">
        <f>T("   220830")</f>
        <v xml:space="preserve">   220830</v>
      </c>
      <c r="B1695" t="str">
        <f>T("   Whiskies")</f>
        <v xml:space="preserve">   Whiskies</v>
      </c>
      <c r="C1695">
        <v>5631730</v>
      </c>
      <c r="D1695">
        <v>16470</v>
      </c>
    </row>
    <row r="1696" spans="1:4" x14ac:dyDescent="0.25">
      <c r="A1696" t="str">
        <f>T("   220890")</f>
        <v xml:space="preserve">   220890</v>
      </c>
      <c r="B1696" t="s">
        <v>61</v>
      </c>
      <c r="C1696">
        <v>36604234</v>
      </c>
      <c r="D1696">
        <v>290348</v>
      </c>
    </row>
    <row r="1697" spans="1:4" x14ac:dyDescent="0.25">
      <c r="A1697" t="str">
        <f>T("   230990")</f>
        <v xml:space="preserve">   230990</v>
      </c>
      <c r="B1697"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1697">
        <v>514596</v>
      </c>
      <c r="D1697">
        <v>705</v>
      </c>
    </row>
    <row r="1698" spans="1:4" x14ac:dyDescent="0.25">
      <c r="A1698" t="str">
        <f>T("   240220")</f>
        <v xml:space="preserve">   240220</v>
      </c>
      <c r="B1698" t="str">
        <f>T("   Cigarettes contenant du tabac")</f>
        <v xml:space="preserve">   Cigarettes contenant du tabac</v>
      </c>
      <c r="C1698">
        <v>4580000</v>
      </c>
      <c r="D1698">
        <v>10080</v>
      </c>
    </row>
    <row r="1699" spans="1:4" x14ac:dyDescent="0.25">
      <c r="A1699" t="str">
        <f>T("   250900")</f>
        <v xml:space="preserve">   250900</v>
      </c>
      <c r="B1699" t="str">
        <f>T("   Craie")</f>
        <v xml:space="preserve">   Craie</v>
      </c>
      <c r="C1699">
        <v>9796487</v>
      </c>
      <c r="D1699">
        <v>36358</v>
      </c>
    </row>
    <row r="1700" spans="1:4" x14ac:dyDescent="0.25">
      <c r="A1700" t="str">
        <f>T("   251511")</f>
        <v xml:space="preserve">   251511</v>
      </c>
      <c r="B1700" t="str">
        <f>T("   Marbres et travertins, bruts ou dégrossis")</f>
        <v xml:space="preserve">   Marbres et travertins, bruts ou dégrossis</v>
      </c>
      <c r="C1700">
        <v>1213099</v>
      </c>
      <c r="D1700">
        <v>1640</v>
      </c>
    </row>
    <row r="1701" spans="1:4" x14ac:dyDescent="0.25">
      <c r="A1701" t="str">
        <f>T("   251512")</f>
        <v xml:space="preserve">   251512</v>
      </c>
      <c r="B1701" t="str">
        <f>T("   MARBRES ET TRAVERTINS, SIMPL. DÉBITÉS, PAR SCIAGE OU AUTREMENT, EN BLOCS OU EN PLAQUES DE FORME CARRÉE OU RECTANGULAIRE")</f>
        <v xml:space="preserve">   MARBRES ET TRAVERTINS, SIMPL. DÉBITÉS, PAR SCIAGE OU AUTREMENT, EN BLOCS OU EN PLAQUES DE FORME CARRÉE OU RECTANGULAIRE</v>
      </c>
      <c r="C1701">
        <v>108491</v>
      </c>
      <c r="D1701">
        <v>3200</v>
      </c>
    </row>
    <row r="1702" spans="1:4" x14ac:dyDescent="0.25">
      <c r="A1702" t="str">
        <f>T("   252020")</f>
        <v xml:space="preserve">   252020</v>
      </c>
      <c r="B1702" t="str">
        <f>T("   Plâtres, même colorés ou additionnés de faibles quantités d'accélérateurs ou de retardateurs")</f>
        <v xml:space="preserve">   Plâtres, même colorés ou additionnés de faibles quantités d'accélérateurs ou de retardateurs</v>
      </c>
      <c r="C1702">
        <v>10048371</v>
      </c>
      <c r="D1702">
        <v>172910</v>
      </c>
    </row>
    <row r="1703" spans="1:4" x14ac:dyDescent="0.25">
      <c r="A1703" t="str">
        <f>T("   252210")</f>
        <v xml:space="preserve">   252210</v>
      </c>
      <c r="B1703" t="str">
        <f>T("   Chaux vive")</f>
        <v xml:space="preserve">   Chaux vive</v>
      </c>
      <c r="C1703">
        <v>45380876</v>
      </c>
      <c r="D1703">
        <v>351400</v>
      </c>
    </row>
    <row r="1704" spans="1:4" x14ac:dyDescent="0.25">
      <c r="A1704" t="str">
        <f>T("   270500")</f>
        <v xml:space="preserve">   270500</v>
      </c>
      <c r="B1704" t="str">
        <f>T("   Gaz de houille, gaz à l'eau, gaz pauvre et gaz simil. (à l'excl. des gaz de pétrole et autres hydrocarbures gazeux)")</f>
        <v xml:space="preserve">   Gaz de houille, gaz à l'eau, gaz pauvre et gaz simil. (à l'excl. des gaz de pétrole et autres hydrocarbures gazeux)</v>
      </c>
      <c r="C1704">
        <v>8054831</v>
      </c>
      <c r="D1704">
        <v>40006</v>
      </c>
    </row>
    <row r="1705" spans="1:4" x14ac:dyDescent="0.25">
      <c r="A1705" t="str">
        <f>T("   271019")</f>
        <v xml:space="preserve">   271019</v>
      </c>
      <c r="B1705" t="str">
        <f>T("   Huiles moyennes et préparations, de pétrole ou de minéraux bitumineux, n.d.a.")</f>
        <v xml:space="preserve">   Huiles moyennes et préparations, de pétrole ou de minéraux bitumineux, n.d.a.</v>
      </c>
      <c r="C1705">
        <v>284699216</v>
      </c>
      <c r="D1705">
        <v>496480</v>
      </c>
    </row>
    <row r="1706" spans="1:4" x14ac:dyDescent="0.25">
      <c r="A1706" t="str">
        <f>T("   271210")</f>
        <v xml:space="preserve">   271210</v>
      </c>
      <c r="B1706" t="str">
        <f>T("   Vaseline")</f>
        <v xml:space="preserve">   Vaseline</v>
      </c>
      <c r="C1706">
        <v>19350000</v>
      </c>
      <c r="D1706">
        <v>21000</v>
      </c>
    </row>
    <row r="1707" spans="1:4" x14ac:dyDescent="0.25">
      <c r="A1707" t="str">
        <f>T("   280512")</f>
        <v xml:space="preserve">   280512</v>
      </c>
      <c r="B1707" t="str">
        <f>T("   CALCIUM")</f>
        <v xml:space="preserve">   CALCIUM</v>
      </c>
      <c r="C1707">
        <v>1050000</v>
      </c>
      <c r="D1707">
        <v>3060</v>
      </c>
    </row>
    <row r="1708" spans="1:4" x14ac:dyDescent="0.25">
      <c r="A1708" t="str">
        <f>T("   281129")</f>
        <v xml:space="preserve">   281129</v>
      </c>
      <c r="B1708"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1708">
        <v>1538888</v>
      </c>
      <c r="D1708">
        <v>2418</v>
      </c>
    </row>
    <row r="1709" spans="1:4" x14ac:dyDescent="0.25">
      <c r="A1709" t="str">
        <f>T("   281511")</f>
        <v xml:space="preserve">   281511</v>
      </c>
      <c r="B1709" t="str">
        <f>T("   Hydroxyde de sodium [soude caustique], solide")</f>
        <v xml:space="preserve">   Hydroxyde de sodium [soude caustique], solide</v>
      </c>
      <c r="C1709">
        <v>76519783</v>
      </c>
      <c r="D1709">
        <v>708948</v>
      </c>
    </row>
    <row r="1710" spans="1:4" x14ac:dyDescent="0.25">
      <c r="A1710" t="str">
        <f>T("   281512")</f>
        <v xml:space="preserve">   281512</v>
      </c>
      <c r="B1710" t="str">
        <f>T("   Hydroxyde de sodium en solution aqueuse [lessive de soude caustique]")</f>
        <v xml:space="preserve">   Hydroxyde de sodium en solution aqueuse [lessive de soude caustique]</v>
      </c>
      <c r="C1710">
        <v>8520921</v>
      </c>
      <c r="D1710">
        <v>54000</v>
      </c>
    </row>
    <row r="1711" spans="1:4" x14ac:dyDescent="0.25">
      <c r="A1711" t="str">
        <f>T("   281520")</f>
        <v xml:space="preserve">   281520</v>
      </c>
      <c r="B1711" t="str">
        <f>T("   Hydroxyde de potassium [potasse caustique]")</f>
        <v xml:space="preserve">   Hydroxyde de potassium [potasse caustique]</v>
      </c>
      <c r="C1711">
        <v>14546969</v>
      </c>
      <c r="D1711">
        <v>50200</v>
      </c>
    </row>
    <row r="1712" spans="1:4" x14ac:dyDescent="0.25">
      <c r="A1712" t="str">
        <f>T("   282110")</f>
        <v xml:space="preserve">   282110</v>
      </c>
      <c r="B1712" t="str">
        <f>T("   Oxydes et hydroxydes de fer")</f>
        <v xml:space="preserve">   Oxydes et hydroxydes de fer</v>
      </c>
      <c r="C1712">
        <v>1966689</v>
      </c>
      <c r="D1712">
        <v>3105</v>
      </c>
    </row>
    <row r="1713" spans="1:4" x14ac:dyDescent="0.25">
      <c r="A1713" t="str">
        <f>T("   282300")</f>
        <v xml:space="preserve">   282300</v>
      </c>
      <c r="B1713" t="str">
        <f>T("   Oxydes de titane")</f>
        <v xml:space="preserve">   Oxydes de titane</v>
      </c>
      <c r="C1713">
        <v>3044206</v>
      </c>
      <c r="D1713">
        <v>20560</v>
      </c>
    </row>
    <row r="1714" spans="1:4" x14ac:dyDescent="0.25">
      <c r="A1714" t="str">
        <f>T("   282810")</f>
        <v xml:space="preserve">   282810</v>
      </c>
      <c r="B1714" t="str">
        <f>T("   Hypochlorites de calcium, y.c. l'hypochlorite de calcium du commerce")</f>
        <v xml:space="preserve">   Hypochlorites de calcium, y.c. l'hypochlorite de calcium du commerce</v>
      </c>
      <c r="C1714">
        <v>7470108</v>
      </c>
      <c r="D1714">
        <v>25000</v>
      </c>
    </row>
    <row r="1715" spans="1:4" x14ac:dyDescent="0.25">
      <c r="A1715" t="str">
        <f>T("   282890")</f>
        <v xml:space="preserve">   282890</v>
      </c>
      <c r="B1715" t="str">
        <f>T("   Hypochlorites, chlorites et hypobromites (à l'excl. des hypochlorites de calcium)")</f>
        <v xml:space="preserve">   Hypochlorites, chlorites et hypobromites (à l'excl. des hypochlorites de calcium)</v>
      </c>
      <c r="C1715">
        <v>2494616</v>
      </c>
      <c r="D1715">
        <v>6359</v>
      </c>
    </row>
    <row r="1716" spans="1:4" x14ac:dyDescent="0.25">
      <c r="A1716" t="str">
        <f>T("   283322")</f>
        <v xml:space="preserve">   283322</v>
      </c>
      <c r="B1716" t="str">
        <f>T("   SULFATE D'ALUMINIUM")</f>
        <v xml:space="preserve">   SULFATE D'ALUMINIUM</v>
      </c>
      <c r="C1716">
        <v>17997447</v>
      </c>
      <c r="D1716">
        <v>40080</v>
      </c>
    </row>
    <row r="1717" spans="1:4" x14ac:dyDescent="0.25">
      <c r="A1717" t="str">
        <f>T("   283539")</f>
        <v xml:space="preserve">   283539</v>
      </c>
      <c r="B1717" t="str">
        <f>T("   Polyphosphates, de constitution chimique définie ou non (à l'excl. du triphosphate de sodium [tripolyphosphate de sodium])")</f>
        <v xml:space="preserve">   Polyphosphates, de constitution chimique définie ou non (à l'excl. du triphosphate de sodium [tripolyphosphate de sodium])</v>
      </c>
      <c r="C1717">
        <v>1640556</v>
      </c>
      <c r="D1717">
        <v>1500</v>
      </c>
    </row>
    <row r="1718" spans="1:4" x14ac:dyDescent="0.25">
      <c r="A1718" t="str">
        <f>T("   283630")</f>
        <v xml:space="preserve">   283630</v>
      </c>
      <c r="B1718" t="str">
        <f>T("   Hydrogénocarbonate [bicarbonate] de sodium")</f>
        <v xml:space="preserve">   Hydrogénocarbonate [bicarbonate] de sodium</v>
      </c>
      <c r="C1718">
        <v>99978</v>
      </c>
      <c r="D1718">
        <v>110</v>
      </c>
    </row>
    <row r="1719" spans="1:4" x14ac:dyDescent="0.25">
      <c r="A1719" t="str">
        <f>T("   283650")</f>
        <v xml:space="preserve">   283650</v>
      </c>
      <c r="B1719" t="str">
        <f>T("   Carbonate de calcium")</f>
        <v xml:space="preserve">   Carbonate de calcium</v>
      </c>
      <c r="C1719">
        <v>20599469</v>
      </c>
      <c r="D1719">
        <v>166950</v>
      </c>
    </row>
    <row r="1720" spans="1:4" x14ac:dyDescent="0.25">
      <c r="A1720" t="str">
        <f>T("   283699")</f>
        <v xml:space="preserve">   283699</v>
      </c>
      <c r="B1720" t="s">
        <v>66</v>
      </c>
      <c r="C1720">
        <v>2988256</v>
      </c>
      <c r="D1720">
        <v>20000</v>
      </c>
    </row>
    <row r="1721" spans="1:4" x14ac:dyDescent="0.25">
      <c r="A1721" t="str">
        <f>T("   284910")</f>
        <v xml:space="preserve">   284910</v>
      </c>
      <c r="B1721" t="str">
        <f>T("   Carbure de calcium, de constitution chimique définie ou non")</f>
        <v xml:space="preserve">   Carbure de calcium, de constitution chimique définie ou non</v>
      </c>
      <c r="C1721">
        <v>10800000</v>
      </c>
      <c r="D1721">
        <v>71660</v>
      </c>
    </row>
    <row r="1722" spans="1:4" x14ac:dyDescent="0.25">
      <c r="A1722" t="str">
        <f>T("   290351")</f>
        <v xml:space="preserve">   290351</v>
      </c>
      <c r="B1722" t="str">
        <f>T("   1,2,3,4,5,6-HEXACHLOROCYCLOHEXANE")</f>
        <v xml:space="preserve">   1,2,3,4,5,6-HEXACHLOROCYCLOHEXANE</v>
      </c>
      <c r="C1722">
        <v>8993993</v>
      </c>
      <c r="D1722">
        <v>7695</v>
      </c>
    </row>
    <row r="1723" spans="1:4" x14ac:dyDescent="0.25">
      <c r="A1723" t="str">
        <f>T("   292242")</f>
        <v xml:space="preserve">   292242</v>
      </c>
      <c r="B1723" t="str">
        <f>T("   Acide glutamique et ses sels")</f>
        <v xml:space="preserve">   Acide glutamique et ses sels</v>
      </c>
      <c r="C1723">
        <v>44775929</v>
      </c>
      <c r="D1723">
        <v>232860</v>
      </c>
    </row>
    <row r="1724" spans="1:4" x14ac:dyDescent="0.25">
      <c r="A1724" t="str">
        <f>T("   293420")</f>
        <v xml:space="preserve">   293420</v>
      </c>
      <c r="B1724" t="str">
        <f>T("   COMPOSÉS HÉTÉROCYCLIQUES COMPORTANT UNE STRUCTURE À CYCLES BENZOTHIAZOLE, HYDROGÉNÉS OU NON, SANS AUTRES CONDENSATIONS (À L'EXCL. DES COMPOSÉS INORGANIQUES OU ORGANIQUES DU MERCURE)")</f>
        <v xml:space="preserve">   COMPOSÉS HÉTÉROCYCLIQUES COMPORTANT UNE STRUCTURE À CYCLES BENZOTHIAZOLE, HYDROGÉNÉS OU NON, SANS AUTRES CONDENSATIONS (À L'EXCL. DES COMPOSÉS INORGANIQUES OU ORGANIQUES DU MERCURE)</v>
      </c>
      <c r="C1724">
        <v>367863491</v>
      </c>
      <c r="D1724">
        <v>2515968</v>
      </c>
    </row>
    <row r="1725" spans="1:4" x14ac:dyDescent="0.25">
      <c r="A1725" t="str">
        <f>T("   294200")</f>
        <v xml:space="preserve">   294200</v>
      </c>
      <c r="B1725" t="str">
        <f>T("   Composés organiques de constitution chimique définie présentés isolément, n.d.a.")</f>
        <v xml:space="preserve">   Composés organiques de constitution chimique définie présentés isolément, n.d.a.</v>
      </c>
      <c r="C1725">
        <v>168913608</v>
      </c>
      <c r="D1725">
        <v>31240</v>
      </c>
    </row>
    <row r="1726" spans="1:4" x14ac:dyDescent="0.25">
      <c r="A1726" t="str">
        <f>T("   300190")</f>
        <v xml:space="preserve">   300190</v>
      </c>
      <c r="B1726" t="str">
        <f>T("   GLANDES ET AUTRES ORGANES, À USAGES OPOTHÉRAPIQUES, À L'ÉTAT DESSÉCHÉ, MÊME PULVÉRISÉS; HÉPARINE ET SES SELS; AUTRES SUBSTANCES HUMAINES OU ANIMALES PRÉPARÉES À DES FINS THÉRAPEUTIQUES OU PROPHYLACTIQUES, N.D.A.")</f>
        <v xml:space="preserve">   GLANDES ET AUTRES ORGANES, À USAGES OPOTHÉRAPIQUES, À L'ÉTAT DESSÉCHÉ, MÊME PULVÉRISÉS; HÉPARINE ET SES SELS; AUTRES SUBSTANCES HUMAINES OU ANIMALES PRÉPARÉES À DES FINS THÉRAPEUTIQUES OU PROPHYLACTIQUES, N.D.A.</v>
      </c>
      <c r="C1726">
        <v>2726091</v>
      </c>
      <c r="D1726">
        <v>1783</v>
      </c>
    </row>
    <row r="1727" spans="1:4" x14ac:dyDescent="0.25">
      <c r="A1727" t="str">
        <f>T("   300230")</f>
        <v xml:space="preserve">   300230</v>
      </c>
      <c r="B1727" t="str">
        <f>T("   Vaccins pour la médecine vétérinaire")</f>
        <v xml:space="preserve">   Vaccins pour la médecine vétérinaire</v>
      </c>
      <c r="C1727">
        <v>7760007</v>
      </c>
      <c r="D1727">
        <v>197</v>
      </c>
    </row>
    <row r="1728" spans="1:4" x14ac:dyDescent="0.25">
      <c r="A1728" t="str">
        <f>T("   300320")</f>
        <v xml:space="preserve">   300320</v>
      </c>
      <c r="B1728" t="s">
        <v>76</v>
      </c>
      <c r="C1728">
        <v>19285224</v>
      </c>
      <c r="D1728">
        <v>750</v>
      </c>
    </row>
    <row r="1729" spans="1:4" x14ac:dyDescent="0.25">
      <c r="A1729" t="str">
        <f>T("   300420")</f>
        <v xml:space="preserve">   300420</v>
      </c>
      <c r="B1729" t="s">
        <v>79</v>
      </c>
      <c r="C1729">
        <v>67567620</v>
      </c>
      <c r="D1729">
        <v>6003.44</v>
      </c>
    </row>
    <row r="1730" spans="1:4" x14ac:dyDescent="0.25">
      <c r="A1730" t="str">
        <f>T("   300439")</f>
        <v xml:space="preserve">   300439</v>
      </c>
      <c r="B1730" t="s">
        <v>81</v>
      </c>
      <c r="C1730">
        <v>19451962</v>
      </c>
      <c r="D1730">
        <v>11400</v>
      </c>
    </row>
    <row r="1731" spans="1:4" x14ac:dyDescent="0.25">
      <c r="A1731" t="str">
        <f>T("   300440")</f>
        <v xml:space="preserve">   300440</v>
      </c>
      <c r="B1731" t="s">
        <v>82</v>
      </c>
      <c r="C1731">
        <v>170513920</v>
      </c>
      <c r="D1731">
        <v>136965</v>
      </c>
    </row>
    <row r="1732" spans="1:4" x14ac:dyDescent="0.25">
      <c r="A1732" t="str">
        <f>T("   300490")</f>
        <v xml:space="preserve">   300490</v>
      </c>
      <c r="B1732" t="s">
        <v>84</v>
      </c>
      <c r="C1732">
        <v>705901834</v>
      </c>
      <c r="D1732">
        <v>1041575</v>
      </c>
    </row>
    <row r="1733" spans="1:4" x14ac:dyDescent="0.25">
      <c r="A1733" t="str">
        <f>T("   300590")</f>
        <v xml:space="preserve">   300590</v>
      </c>
      <c r="B1733" t="s">
        <v>85</v>
      </c>
      <c r="C1733">
        <v>145369244</v>
      </c>
      <c r="D1733">
        <v>95261</v>
      </c>
    </row>
    <row r="1734" spans="1:4" x14ac:dyDescent="0.25">
      <c r="A1734" t="str">
        <f>T("   300620")</f>
        <v xml:space="preserve">   300620</v>
      </c>
      <c r="B1734" t="str">
        <f>T("   Réactifs destinés à la détermination des groupes ou des facteurs sanguins")</f>
        <v xml:space="preserve">   Réactifs destinés à la détermination des groupes ou des facteurs sanguins</v>
      </c>
      <c r="C1734">
        <v>12439780</v>
      </c>
      <c r="D1734">
        <v>9349</v>
      </c>
    </row>
    <row r="1735" spans="1:4" x14ac:dyDescent="0.25">
      <c r="A1735" t="str">
        <f>T("   320611")</f>
        <v xml:space="preserve">   320611</v>
      </c>
      <c r="B1735" t="s">
        <v>98</v>
      </c>
      <c r="C1735">
        <v>20485630</v>
      </c>
      <c r="D1735">
        <v>15000</v>
      </c>
    </row>
    <row r="1736" spans="1:4" x14ac:dyDescent="0.25">
      <c r="A1736" t="str">
        <f>T("   320620")</f>
        <v xml:space="preserve">   320620</v>
      </c>
      <c r="B1736" t="s">
        <v>99</v>
      </c>
      <c r="C1736">
        <v>18740777</v>
      </c>
      <c r="D1736">
        <v>11000</v>
      </c>
    </row>
    <row r="1737" spans="1:4" x14ac:dyDescent="0.25">
      <c r="A1737" t="str">
        <f>T("   320820")</f>
        <v xml:space="preserve">   320820</v>
      </c>
      <c r="B1737" t="s">
        <v>101</v>
      </c>
      <c r="C1737">
        <v>11678000</v>
      </c>
      <c r="D1737">
        <v>23438</v>
      </c>
    </row>
    <row r="1738" spans="1:4" x14ac:dyDescent="0.25">
      <c r="A1738" t="str">
        <f>T("   320910")</f>
        <v xml:space="preserve">   320910</v>
      </c>
      <c r="B1738" t="str">
        <f>T("   Peintures et vernis à base de polymères acryliques ou vinyliques, dispersés ou dissous dans un milieu aqueux")</f>
        <v xml:space="preserve">   Peintures et vernis à base de polymères acryliques ou vinyliques, dispersés ou dissous dans un milieu aqueux</v>
      </c>
      <c r="C1738">
        <v>6178143</v>
      </c>
      <c r="D1738">
        <v>30685</v>
      </c>
    </row>
    <row r="1739" spans="1:4" x14ac:dyDescent="0.25">
      <c r="A1739" t="str">
        <f>T("   321000")</f>
        <v xml:space="preserve">   321000</v>
      </c>
      <c r="B173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739">
        <v>66722939</v>
      </c>
      <c r="D1739">
        <v>18780</v>
      </c>
    </row>
    <row r="1740" spans="1:4" x14ac:dyDescent="0.25">
      <c r="A1740" t="str">
        <f>T("   321490")</f>
        <v xml:space="preserve">   321490</v>
      </c>
      <c r="B1740" t="str">
        <f>T("   Enduits non réfractaires des types utilisés en maçonnerie")</f>
        <v xml:space="preserve">   Enduits non réfractaires des types utilisés en maçonnerie</v>
      </c>
      <c r="C1740">
        <v>1385021</v>
      </c>
      <c r="D1740">
        <v>3000</v>
      </c>
    </row>
    <row r="1741" spans="1:4" x14ac:dyDescent="0.25">
      <c r="A1741" t="str">
        <f>T("   321519")</f>
        <v xml:space="preserve">   321519</v>
      </c>
      <c r="B1741" t="str">
        <f>T("   Encres d'imprimerie, même concentrées ou sous formes solides (à l'excl. des encres noires)")</f>
        <v xml:space="preserve">   Encres d'imprimerie, même concentrées ou sous formes solides (à l'excl. des encres noires)</v>
      </c>
      <c r="C1741">
        <v>1363618</v>
      </c>
      <c r="D1741">
        <v>3801</v>
      </c>
    </row>
    <row r="1742" spans="1:4" x14ac:dyDescent="0.25">
      <c r="A1742" t="str">
        <f>T("   321590")</f>
        <v xml:space="preserve">   321590</v>
      </c>
      <c r="B1742" t="str">
        <f>T("   Encres à écrire et à dessiner, même concentrées ou sous formes solides")</f>
        <v xml:space="preserve">   Encres à écrire et à dessiner, même concentrées ou sous formes solides</v>
      </c>
      <c r="C1742">
        <v>9905609</v>
      </c>
      <c r="D1742">
        <v>12704</v>
      </c>
    </row>
    <row r="1743" spans="1:4" x14ac:dyDescent="0.25">
      <c r="A1743" t="str">
        <f>T("   330119")</f>
        <v xml:space="preserve">   330119</v>
      </c>
      <c r="B1743"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1743">
        <v>1200000</v>
      </c>
      <c r="D1743">
        <v>562</v>
      </c>
    </row>
    <row r="1744" spans="1:4" x14ac:dyDescent="0.25">
      <c r="A1744" t="str">
        <f>T("   330129")</f>
        <v xml:space="preserve">   330129</v>
      </c>
      <c r="B1744"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1744">
        <v>35512437</v>
      </c>
      <c r="D1744">
        <v>81361</v>
      </c>
    </row>
    <row r="1745" spans="1:4" x14ac:dyDescent="0.25">
      <c r="A1745" t="str">
        <f>T("   330190")</f>
        <v xml:space="preserve">   330190</v>
      </c>
      <c r="B1745" t="s">
        <v>104</v>
      </c>
      <c r="C1745">
        <v>509349</v>
      </c>
      <c r="D1745">
        <v>626</v>
      </c>
    </row>
    <row r="1746" spans="1:4" x14ac:dyDescent="0.25">
      <c r="A1746" t="str">
        <f>T("   330210")</f>
        <v xml:space="preserve">   330210</v>
      </c>
      <c r="B1746"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746">
        <v>2339989</v>
      </c>
      <c r="D1746">
        <v>305</v>
      </c>
    </row>
    <row r="1747" spans="1:4" x14ac:dyDescent="0.25">
      <c r="A1747" t="str">
        <f>T("   330300")</f>
        <v xml:space="preserve">   330300</v>
      </c>
      <c r="B1747"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747">
        <v>7823593</v>
      </c>
      <c r="D1747">
        <v>24043</v>
      </c>
    </row>
    <row r="1748" spans="1:4" x14ac:dyDescent="0.25">
      <c r="A1748" t="str">
        <f>T("   330420")</f>
        <v xml:space="preserve">   330420</v>
      </c>
      <c r="B1748" t="str">
        <f>T("   Produits de maquillage pour les yeux")</f>
        <v xml:space="preserve">   Produits de maquillage pour les yeux</v>
      </c>
      <c r="C1748">
        <v>44760</v>
      </c>
      <c r="D1748">
        <v>10</v>
      </c>
    </row>
    <row r="1749" spans="1:4" x14ac:dyDescent="0.25">
      <c r="A1749" t="str">
        <f>T("   330499")</f>
        <v xml:space="preserve">   330499</v>
      </c>
      <c r="B1749" t="s">
        <v>106</v>
      </c>
      <c r="C1749">
        <v>269256808</v>
      </c>
      <c r="D1749">
        <v>1100488</v>
      </c>
    </row>
    <row r="1750" spans="1:4" x14ac:dyDescent="0.25">
      <c r="A1750" t="str">
        <f>T("   330510")</f>
        <v xml:space="preserve">   330510</v>
      </c>
      <c r="B1750" t="str">
        <f>T("   Shampooings")</f>
        <v xml:space="preserve">   Shampooings</v>
      </c>
      <c r="C1750">
        <v>5007250</v>
      </c>
      <c r="D1750">
        <v>20959</v>
      </c>
    </row>
    <row r="1751" spans="1:4" x14ac:dyDescent="0.25">
      <c r="A1751" t="str">
        <f>T("   330590")</f>
        <v xml:space="preserve">   330590</v>
      </c>
      <c r="B1751"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751">
        <v>5774796</v>
      </c>
      <c r="D1751">
        <v>24105</v>
      </c>
    </row>
    <row r="1752" spans="1:4" x14ac:dyDescent="0.25">
      <c r="A1752" t="str">
        <f>T("   330610")</f>
        <v xml:space="preserve">   330610</v>
      </c>
      <c r="B1752" t="str">
        <f>T("   Dentifrices, préparés, même des types utilisés par les dentistes")</f>
        <v xml:space="preserve">   Dentifrices, préparés, même des types utilisés par les dentistes</v>
      </c>
      <c r="C1752">
        <v>189871533</v>
      </c>
      <c r="D1752">
        <v>798650</v>
      </c>
    </row>
    <row r="1753" spans="1:4" x14ac:dyDescent="0.25">
      <c r="A1753" t="str">
        <f>T("   330690")</f>
        <v xml:space="preserve">   330690</v>
      </c>
      <c r="B1753"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1753">
        <v>5461774</v>
      </c>
      <c r="D1753">
        <v>25520</v>
      </c>
    </row>
    <row r="1754" spans="1:4" x14ac:dyDescent="0.25">
      <c r="A1754" t="str">
        <f>T("   330720")</f>
        <v xml:space="preserve">   330720</v>
      </c>
      <c r="B1754" t="str">
        <f>T("   Désodorisants corporels et antisudoraux, préparés")</f>
        <v xml:space="preserve">   Désodorisants corporels et antisudoraux, préparés</v>
      </c>
      <c r="C1754">
        <v>453085</v>
      </c>
      <c r="D1754">
        <v>1089</v>
      </c>
    </row>
    <row r="1755" spans="1:4" x14ac:dyDescent="0.25">
      <c r="A1755" t="str">
        <f>T("   330749")</f>
        <v xml:space="preserve">   330749</v>
      </c>
      <c r="B1755"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755">
        <v>3979126</v>
      </c>
      <c r="D1755">
        <v>25341</v>
      </c>
    </row>
    <row r="1756" spans="1:4" x14ac:dyDescent="0.25">
      <c r="A1756" t="str">
        <f>T("   330790")</f>
        <v xml:space="preserve">   330790</v>
      </c>
      <c r="B1756" t="str">
        <f>T("   Dépilatoires, autres produits de parfumerie ou de toilette préparés et autres préparations cosmétiques, n.d.a.")</f>
        <v xml:space="preserve">   Dépilatoires, autres produits de parfumerie ou de toilette préparés et autres préparations cosmétiques, n.d.a.</v>
      </c>
      <c r="C1756">
        <v>60000</v>
      </c>
      <c r="D1756">
        <v>111</v>
      </c>
    </row>
    <row r="1757" spans="1:4" x14ac:dyDescent="0.25">
      <c r="A1757" t="str">
        <f>T("   340111")</f>
        <v xml:space="preserve">   340111</v>
      </c>
      <c r="B1757" t="s">
        <v>107</v>
      </c>
      <c r="C1757">
        <v>306938939</v>
      </c>
      <c r="D1757">
        <v>1665155</v>
      </c>
    </row>
    <row r="1758" spans="1:4" x14ac:dyDescent="0.25">
      <c r="A1758" t="str">
        <f>T("   340119")</f>
        <v xml:space="preserve">   340119</v>
      </c>
      <c r="B1758" t="s">
        <v>108</v>
      </c>
      <c r="C1758">
        <v>809316280</v>
      </c>
      <c r="D1758">
        <v>3803037</v>
      </c>
    </row>
    <row r="1759" spans="1:4" x14ac:dyDescent="0.25">
      <c r="A1759" t="str">
        <f>T("   340120")</f>
        <v xml:space="preserve">   340120</v>
      </c>
      <c r="B1759" t="str">
        <f>T("   Savons en flocons, en paillettes, en granulés ou en poudres et savons liquides ou pâteux")</f>
        <v xml:space="preserve">   Savons en flocons, en paillettes, en granulés ou en poudres et savons liquides ou pâteux</v>
      </c>
      <c r="C1759">
        <v>369559676</v>
      </c>
      <c r="D1759">
        <v>1388040</v>
      </c>
    </row>
    <row r="1760" spans="1:4" x14ac:dyDescent="0.25">
      <c r="A1760" t="str">
        <f>T("   340219")</f>
        <v xml:space="preserve">   340219</v>
      </c>
      <c r="B1760"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1760">
        <v>29100000</v>
      </c>
      <c r="D1760">
        <v>52000</v>
      </c>
    </row>
    <row r="1761" spans="1:4" x14ac:dyDescent="0.25">
      <c r="A1761" t="str">
        <f>T("   340220")</f>
        <v xml:space="preserve">   340220</v>
      </c>
      <c r="B1761" t="s">
        <v>109</v>
      </c>
      <c r="C1761">
        <v>314078256</v>
      </c>
      <c r="D1761">
        <v>1387317</v>
      </c>
    </row>
    <row r="1762" spans="1:4" x14ac:dyDescent="0.25">
      <c r="A1762" t="str">
        <f>T("   340290")</f>
        <v xml:space="preserve">   340290</v>
      </c>
      <c r="B1762" t="s">
        <v>110</v>
      </c>
      <c r="C1762">
        <v>96534474</v>
      </c>
      <c r="D1762">
        <v>402591</v>
      </c>
    </row>
    <row r="1763" spans="1:4" x14ac:dyDescent="0.25">
      <c r="A1763" t="str">
        <f>T("   340399")</f>
        <v xml:space="preserve">   340399</v>
      </c>
      <c r="B1763" t="s">
        <v>112</v>
      </c>
      <c r="C1763">
        <v>900527</v>
      </c>
      <c r="D1763">
        <v>3613</v>
      </c>
    </row>
    <row r="1764" spans="1:4" x14ac:dyDescent="0.25">
      <c r="A1764" t="str">
        <f>T("   340530")</f>
        <v xml:space="preserve">   340530</v>
      </c>
      <c r="B1764" t="s">
        <v>116</v>
      </c>
      <c r="C1764">
        <v>200000</v>
      </c>
      <c r="D1764">
        <v>600</v>
      </c>
    </row>
    <row r="1765" spans="1:4" x14ac:dyDescent="0.25">
      <c r="A1765" t="str">
        <f>T("   340600")</f>
        <v xml:space="preserve">   340600</v>
      </c>
      <c r="B1765" t="str">
        <f>T("   Bougies, chandelles, cierges et articles simil.")</f>
        <v xml:space="preserve">   Bougies, chandelles, cierges et articles simil.</v>
      </c>
      <c r="C1765">
        <v>94294589</v>
      </c>
      <c r="D1765">
        <v>685979</v>
      </c>
    </row>
    <row r="1766" spans="1:4" x14ac:dyDescent="0.25">
      <c r="A1766" t="str">
        <f>T("   350300")</f>
        <v xml:space="preserve">   350300</v>
      </c>
      <c r="B1766" t="s">
        <v>118</v>
      </c>
      <c r="C1766">
        <v>886140</v>
      </c>
      <c r="D1766">
        <v>1741</v>
      </c>
    </row>
    <row r="1767" spans="1:4" x14ac:dyDescent="0.25">
      <c r="A1767" t="str">
        <f>T("   350510")</f>
        <v xml:space="preserve">   350510</v>
      </c>
      <c r="B1767" t="str">
        <f>T("   DEXTRINE ET AUTRES AMIDONS ET FÉCULES MODIFIÉS [LES AMIDONS ET FÉCULES PRÉ-GÉLATINISÉS OU ESTÉRIFIÉS, P.EX.]")</f>
        <v xml:space="preserve">   DEXTRINE ET AUTRES AMIDONS ET FÉCULES MODIFIÉS [LES AMIDONS ET FÉCULES PRÉ-GÉLATINISÉS OU ESTÉRIFIÉS, P.EX.]</v>
      </c>
      <c r="C1767">
        <v>95621557</v>
      </c>
      <c r="D1767">
        <v>119500</v>
      </c>
    </row>
    <row r="1768" spans="1:4" x14ac:dyDescent="0.25">
      <c r="A1768" t="str">
        <f>T("   350520")</f>
        <v xml:space="preserve">   350520</v>
      </c>
      <c r="B1768"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1768">
        <v>1297157</v>
      </c>
      <c r="D1768">
        <v>2079</v>
      </c>
    </row>
    <row r="1769" spans="1:4" x14ac:dyDescent="0.25">
      <c r="A1769" t="str">
        <f>T("   350610")</f>
        <v xml:space="preserve">   350610</v>
      </c>
      <c r="B1769"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769">
        <v>7645348</v>
      </c>
      <c r="D1769">
        <v>23520</v>
      </c>
    </row>
    <row r="1770" spans="1:4" x14ac:dyDescent="0.25">
      <c r="A1770" t="str">
        <f>T("   350699")</f>
        <v xml:space="preserve">   350699</v>
      </c>
      <c r="B1770" t="str">
        <f>T("   Colles et autres adhésifs préparés, n.d.a.")</f>
        <v xml:space="preserve">   Colles et autres adhésifs préparés, n.d.a.</v>
      </c>
      <c r="C1770">
        <v>7146549</v>
      </c>
      <c r="D1770">
        <v>28104</v>
      </c>
    </row>
    <row r="1771" spans="1:4" x14ac:dyDescent="0.25">
      <c r="A1771" t="str">
        <f>T("   350790")</f>
        <v xml:space="preserve">   350790</v>
      </c>
      <c r="B1771" t="str">
        <f>T("   Enzymes et enzymes préparées, n.d.a. (à l'excl. de la présure et de ses concentrats)")</f>
        <v xml:space="preserve">   Enzymes et enzymes préparées, n.d.a. (à l'excl. de la présure et de ses concentrats)</v>
      </c>
      <c r="C1771">
        <v>4068920</v>
      </c>
      <c r="D1771">
        <v>30240</v>
      </c>
    </row>
    <row r="1772" spans="1:4" x14ac:dyDescent="0.25">
      <c r="A1772" t="str">
        <f>T("   360500")</f>
        <v xml:space="preserve">   360500</v>
      </c>
      <c r="B1772" t="str">
        <f>T("   Allumettes (autres que les articles de pyrotechnie du n° 3604)")</f>
        <v xml:space="preserve">   Allumettes (autres que les articles de pyrotechnie du n° 3604)</v>
      </c>
      <c r="C1772">
        <v>7991400</v>
      </c>
      <c r="D1772">
        <v>52740</v>
      </c>
    </row>
    <row r="1773" spans="1:4" x14ac:dyDescent="0.25">
      <c r="A1773" t="str">
        <f>T("   370110")</f>
        <v xml:space="preserve">   370110</v>
      </c>
      <c r="B1773" t="str">
        <f>T("   PLAQUES ET FILMS PLANS, PHOTOGRAPHIQUES, SENSIBILISÉS, NON-IMPRESSIONNÉS, POUR RAYONS X (SAUF EN PAPIER, EN CARTON OU EN MATIÈRES TEXTILES)")</f>
        <v xml:space="preserve">   PLAQUES ET FILMS PLANS, PHOTOGRAPHIQUES, SENSIBILISÉS, NON-IMPRESSIONNÉS, POUR RAYONS X (SAUF EN PAPIER, EN CARTON OU EN MATIÈRES TEXTILES)</v>
      </c>
      <c r="C1773">
        <v>8085024</v>
      </c>
      <c r="D1773">
        <v>2763</v>
      </c>
    </row>
    <row r="1774" spans="1:4" x14ac:dyDescent="0.25">
      <c r="A1774" t="str">
        <f>T("   370390")</f>
        <v xml:space="preserve">   370390</v>
      </c>
      <c r="B1774"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1774">
        <v>1301868</v>
      </c>
      <c r="D1774">
        <v>3325</v>
      </c>
    </row>
    <row r="1775" spans="1:4" x14ac:dyDescent="0.25">
      <c r="A1775" t="str">
        <f>T("   370400")</f>
        <v xml:space="preserve">   370400</v>
      </c>
      <c r="B1775" t="str">
        <f>T("   PLAQUES, PELLICULES, FILMS, PAPIERS, CARTONS ET TEXTILES, PHOTOGRAPHIQUES, IMPRESSIONNÉS MAIS NON-DÉVELOPPÉS")</f>
        <v xml:space="preserve">   PLAQUES, PELLICULES, FILMS, PAPIERS, CARTONS ET TEXTILES, PHOTOGRAPHIQUES, IMPRESSIONNÉS MAIS NON-DÉVELOPPÉS</v>
      </c>
      <c r="C1775">
        <v>319714</v>
      </c>
      <c r="D1775">
        <v>1500</v>
      </c>
    </row>
    <row r="1776" spans="1:4" x14ac:dyDescent="0.25">
      <c r="A1776" t="str">
        <f>T("   370790")</f>
        <v xml:space="preserve">   370790</v>
      </c>
      <c r="B1776" t="s">
        <v>124</v>
      </c>
      <c r="C1776">
        <v>2225000</v>
      </c>
      <c r="D1776">
        <v>23960</v>
      </c>
    </row>
    <row r="1777" spans="1:4" x14ac:dyDescent="0.25">
      <c r="A1777" t="str">
        <f>T("   380810")</f>
        <v xml:space="preserve">   380810</v>
      </c>
      <c r="B1777"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777">
        <v>302145892</v>
      </c>
      <c r="D1777">
        <v>584015</v>
      </c>
    </row>
    <row r="1778" spans="1:4" x14ac:dyDescent="0.25">
      <c r="A1778" t="str">
        <f>T("   380840")</f>
        <v xml:space="preserve">   380840</v>
      </c>
      <c r="B1778"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778">
        <v>206924</v>
      </c>
      <c r="D1778">
        <v>315</v>
      </c>
    </row>
    <row r="1779" spans="1:4" x14ac:dyDescent="0.25">
      <c r="A1779" t="str">
        <f>T("   380850")</f>
        <v xml:space="preserve">   380850</v>
      </c>
      <c r="B1779" t="s">
        <v>125</v>
      </c>
      <c r="C1779">
        <v>1017706962</v>
      </c>
      <c r="D1779">
        <v>1897242</v>
      </c>
    </row>
    <row r="1780" spans="1:4" x14ac:dyDescent="0.25">
      <c r="A1780" t="str">
        <f>T("   380890")</f>
        <v xml:space="preserve">   380890</v>
      </c>
      <c r="B1780"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780">
        <v>15811000</v>
      </c>
      <c r="D1780">
        <v>23214</v>
      </c>
    </row>
    <row r="1781" spans="1:4" x14ac:dyDescent="0.25">
      <c r="A1781" t="str">
        <f>T("   380891")</f>
        <v xml:space="preserve">   380891</v>
      </c>
      <c r="B1781" t="str">
        <f>T("   INSECTICIDES (À L'EXCL. DES MARCHANDISES DU N° 3808.50)")</f>
        <v xml:space="preserve">   INSECTICIDES (À L'EXCL. DES MARCHANDISES DU N° 3808.50)</v>
      </c>
      <c r="C1781">
        <v>194203811</v>
      </c>
      <c r="D1781">
        <v>597574</v>
      </c>
    </row>
    <row r="1782" spans="1:4" x14ac:dyDescent="0.25">
      <c r="A1782" t="str">
        <f>T("   380892")</f>
        <v xml:space="preserve">   380892</v>
      </c>
      <c r="B1782" t="str">
        <f>T("   FONGICIDES (À L'EXCL. DES MARCHANDISES DU N° 3808.50)")</f>
        <v xml:space="preserve">   FONGICIDES (À L'EXCL. DES MARCHANDISES DU N° 3808.50)</v>
      </c>
      <c r="C1782">
        <v>6702481</v>
      </c>
      <c r="D1782">
        <v>1851</v>
      </c>
    </row>
    <row r="1783" spans="1:4" x14ac:dyDescent="0.25">
      <c r="A1783" t="str">
        <f>T("   380893")</f>
        <v xml:space="preserve">   380893</v>
      </c>
      <c r="B1783" t="str">
        <f>T("   HERBICIDES, INHIBITEURS DE GERMINATION ET RÉGULATEURS DE CROISSANCE POUR PLANTES (À L'EXCL. DES MARCHANDISES DU N° 3808.50)")</f>
        <v xml:space="preserve">   HERBICIDES, INHIBITEURS DE GERMINATION ET RÉGULATEURS DE CROISSANCE POUR PLANTES (À L'EXCL. DES MARCHANDISES DU N° 3808.50)</v>
      </c>
      <c r="C1783">
        <v>26010373</v>
      </c>
      <c r="D1783">
        <v>16834</v>
      </c>
    </row>
    <row r="1784" spans="1:4" x14ac:dyDescent="0.25">
      <c r="A1784" t="str">
        <f>T("   381090")</f>
        <v xml:space="preserve">   381090</v>
      </c>
      <c r="B1784" t="s">
        <v>130</v>
      </c>
      <c r="C1784">
        <v>6433272</v>
      </c>
      <c r="D1784">
        <v>49080</v>
      </c>
    </row>
    <row r="1785" spans="1:4" x14ac:dyDescent="0.25">
      <c r="A1785" t="str">
        <f>T("   381190")</f>
        <v xml:space="preserve">   381190</v>
      </c>
      <c r="B1785" t="s">
        <v>131</v>
      </c>
      <c r="C1785">
        <v>3916492</v>
      </c>
      <c r="D1785">
        <v>20019</v>
      </c>
    </row>
    <row r="1786" spans="1:4" x14ac:dyDescent="0.25">
      <c r="A1786" t="str">
        <f>T("   381230")</f>
        <v xml:space="preserve">   381230</v>
      </c>
      <c r="B1786" t="str">
        <f>T("   Préparations antioxydantes et autres stabilisateurs composites pour caoutchouc ou matières plastiques")</f>
        <v xml:space="preserve">   Préparations antioxydantes et autres stabilisateurs composites pour caoutchouc ou matières plastiques</v>
      </c>
      <c r="C1786">
        <v>25528628</v>
      </c>
      <c r="D1786">
        <v>76336</v>
      </c>
    </row>
    <row r="1787" spans="1:4" x14ac:dyDescent="0.25">
      <c r="A1787" t="str">
        <f>T("   381400")</f>
        <v xml:space="preserve">   381400</v>
      </c>
      <c r="B1787"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787">
        <v>5770355</v>
      </c>
      <c r="D1787">
        <v>13491</v>
      </c>
    </row>
    <row r="1788" spans="1:4" x14ac:dyDescent="0.25">
      <c r="A1788" t="str">
        <f>T("   382200")</f>
        <v xml:space="preserve">   382200</v>
      </c>
      <c r="B1788" t="s">
        <v>133</v>
      </c>
      <c r="C1788">
        <v>8436823</v>
      </c>
      <c r="D1788">
        <v>401.2</v>
      </c>
    </row>
    <row r="1789" spans="1:4" x14ac:dyDescent="0.25">
      <c r="A1789" t="str">
        <f>T("   382490")</f>
        <v xml:space="preserve">   382490</v>
      </c>
      <c r="B1789"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789">
        <v>1746074</v>
      </c>
      <c r="D1789">
        <v>1082</v>
      </c>
    </row>
    <row r="1790" spans="1:4" x14ac:dyDescent="0.25">
      <c r="A1790" t="str">
        <f>T("   390410")</f>
        <v xml:space="preserve">   390410</v>
      </c>
      <c r="B1790" t="str">
        <f>T("   Poly[chlorure de vinyle], sous formes primaires, non mélangé à d'autres substances")</f>
        <v xml:space="preserve">   Poly[chlorure de vinyle], sous formes primaires, non mélangé à d'autres substances</v>
      </c>
      <c r="C1790">
        <v>5260000</v>
      </c>
      <c r="D1790">
        <v>16800</v>
      </c>
    </row>
    <row r="1791" spans="1:4" x14ac:dyDescent="0.25">
      <c r="A1791" t="str">
        <f>T("   390720")</f>
        <v xml:space="preserve">   390720</v>
      </c>
      <c r="B1791" t="str">
        <f>T("   Polyéthers, sous formes primaires (à l'excl. des polyacétals)")</f>
        <v xml:space="preserve">   Polyéthers, sous formes primaires (à l'excl. des polyacétals)</v>
      </c>
      <c r="C1791">
        <v>2104780</v>
      </c>
      <c r="D1791">
        <v>20000</v>
      </c>
    </row>
    <row r="1792" spans="1:4" x14ac:dyDescent="0.25">
      <c r="A1792" t="str">
        <f>T("   390930")</f>
        <v xml:space="preserve">   390930</v>
      </c>
      <c r="B1792"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1792">
        <v>25446097</v>
      </c>
      <c r="D1792">
        <v>85340</v>
      </c>
    </row>
    <row r="1793" spans="1:4" x14ac:dyDescent="0.25">
      <c r="A1793" t="str">
        <f>T("   391000")</f>
        <v xml:space="preserve">   391000</v>
      </c>
      <c r="B1793" t="str">
        <f>T("   Silicones sous formes primaires")</f>
        <v xml:space="preserve">   Silicones sous formes primaires</v>
      </c>
      <c r="C1793">
        <v>820598</v>
      </c>
      <c r="D1793">
        <v>634</v>
      </c>
    </row>
    <row r="1794" spans="1:4" x14ac:dyDescent="0.25">
      <c r="A1794" t="str">
        <f>T("   391110")</f>
        <v xml:space="preserve">   391110</v>
      </c>
      <c r="B1794"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1794">
        <v>1914092</v>
      </c>
      <c r="D1794">
        <v>2000</v>
      </c>
    </row>
    <row r="1795" spans="1:4" x14ac:dyDescent="0.25">
      <c r="A1795" t="str">
        <f>T("   391220")</f>
        <v xml:space="preserve">   391220</v>
      </c>
      <c r="B1795" t="str">
        <f>T("   Nitrates de cellulose, y.c. les collodions, sous formes primaires")</f>
        <v xml:space="preserve">   Nitrates de cellulose, y.c. les collodions, sous formes primaires</v>
      </c>
      <c r="C1795">
        <v>17356341</v>
      </c>
      <c r="D1795">
        <v>8720</v>
      </c>
    </row>
    <row r="1796" spans="1:4" x14ac:dyDescent="0.25">
      <c r="A1796" t="str">
        <f>T("   391239")</f>
        <v xml:space="preserve">   391239</v>
      </c>
      <c r="B1796" t="str">
        <f>T("   ÉTHERS DE CELLULOSE, SOUS FORMES PRIMAIRES (À L'EXCL. DE LA CARBOXYMÉTHYLCELLULOSE ET DE SES SELS)")</f>
        <v xml:space="preserve">   ÉTHERS DE CELLULOSE, SOUS FORMES PRIMAIRES (À L'EXCL. DE LA CARBOXYMÉTHYLCELLULOSE ET DE SES SELS)</v>
      </c>
      <c r="C1796">
        <v>24989452</v>
      </c>
      <c r="D1796">
        <v>8000</v>
      </c>
    </row>
    <row r="1797" spans="1:4" x14ac:dyDescent="0.25">
      <c r="A1797" t="str">
        <f>T("   391721")</f>
        <v xml:space="preserve">   391721</v>
      </c>
      <c r="B1797" t="str">
        <f>T("   TUBES ET TUYAUX RIGIDES, EN POLYMÈRES DE L'ÉTHYLÈNE")</f>
        <v xml:space="preserve">   TUBES ET TUYAUX RIGIDES, EN POLYMÈRES DE L'ÉTHYLÈNE</v>
      </c>
      <c r="C1797">
        <v>7019399</v>
      </c>
      <c r="D1797">
        <v>38323</v>
      </c>
    </row>
    <row r="1798" spans="1:4" x14ac:dyDescent="0.25">
      <c r="A1798" t="str">
        <f>T("   391729")</f>
        <v xml:space="preserve">   391729</v>
      </c>
      <c r="B1798"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1798">
        <v>5603070</v>
      </c>
      <c r="D1798">
        <v>24471</v>
      </c>
    </row>
    <row r="1799" spans="1:4" x14ac:dyDescent="0.25">
      <c r="A1799" t="str">
        <f>T("   391739")</f>
        <v xml:space="preserve">   391739</v>
      </c>
      <c r="B179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799">
        <v>7761804</v>
      </c>
      <c r="D1799">
        <v>13139</v>
      </c>
    </row>
    <row r="1800" spans="1:4" x14ac:dyDescent="0.25">
      <c r="A1800" t="str">
        <f>T("   391740")</f>
        <v xml:space="preserve">   391740</v>
      </c>
      <c r="B1800" t="str">
        <f>T("   Accessoires pour tubes ou tuyaux [joints, coudes, raccords, par exemple], en matières plastiques")</f>
        <v xml:space="preserve">   Accessoires pour tubes ou tuyaux [joints, coudes, raccords, par exemple], en matières plastiques</v>
      </c>
      <c r="C1800">
        <v>28526033</v>
      </c>
      <c r="D1800">
        <v>63506</v>
      </c>
    </row>
    <row r="1801" spans="1:4" x14ac:dyDescent="0.25">
      <c r="A1801" t="str">
        <f>T("   391890")</f>
        <v xml:space="preserve">   391890</v>
      </c>
      <c r="B1801" t="s">
        <v>138</v>
      </c>
      <c r="C1801">
        <v>57870598</v>
      </c>
      <c r="D1801">
        <v>206046.1</v>
      </c>
    </row>
    <row r="1802" spans="1:4" x14ac:dyDescent="0.25">
      <c r="A1802" t="str">
        <f>T("   391910")</f>
        <v xml:space="preserve">   391910</v>
      </c>
      <c r="B1802"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1802">
        <v>22745607</v>
      </c>
      <c r="D1802">
        <v>70298</v>
      </c>
    </row>
    <row r="1803" spans="1:4" x14ac:dyDescent="0.25">
      <c r="A1803" t="str">
        <f>T("   391990")</f>
        <v xml:space="preserve">   391990</v>
      </c>
      <c r="B1803" t="s">
        <v>139</v>
      </c>
      <c r="C1803">
        <v>56486837</v>
      </c>
      <c r="D1803">
        <v>139803</v>
      </c>
    </row>
    <row r="1804" spans="1:4" x14ac:dyDescent="0.25">
      <c r="A1804" t="str">
        <f>T("   392049")</f>
        <v xml:space="preserve">   392049</v>
      </c>
      <c r="B1804" t="s">
        <v>143</v>
      </c>
      <c r="C1804">
        <v>1343863</v>
      </c>
      <c r="D1804">
        <v>1796</v>
      </c>
    </row>
    <row r="1805" spans="1:4" x14ac:dyDescent="0.25">
      <c r="A1805" t="str">
        <f>T("   392059")</f>
        <v xml:space="preserve">   392059</v>
      </c>
      <c r="B1805" t="s">
        <v>144</v>
      </c>
      <c r="C1805">
        <v>3490207</v>
      </c>
      <c r="D1805">
        <v>2111</v>
      </c>
    </row>
    <row r="1806" spans="1:4" x14ac:dyDescent="0.25">
      <c r="A1806" t="str">
        <f>T("   392061")</f>
        <v xml:space="preserve">   392061</v>
      </c>
      <c r="B1806" t="s">
        <v>145</v>
      </c>
      <c r="C1806">
        <v>3061831</v>
      </c>
      <c r="D1806">
        <v>1314</v>
      </c>
    </row>
    <row r="1807" spans="1:4" x14ac:dyDescent="0.25">
      <c r="A1807" t="str">
        <f>T("   392091")</f>
        <v xml:space="preserve">   392091</v>
      </c>
      <c r="B1807" t="s">
        <v>149</v>
      </c>
      <c r="C1807">
        <v>1205853</v>
      </c>
      <c r="D1807">
        <v>1200</v>
      </c>
    </row>
    <row r="1808" spans="1:4" x14ac:dyDescent="0.25">
      <c r="A1808" t="str">
        <f>T("   392099")</f>
        <v xml:space="preserve">   392099</v>
      </c>
      <c r="B1808" t="s">
        <v>150</v>
      </c>
      <c r="C1808">
        <v>10039006</v>
      </c>
      <c r="D1808">
        <v>50204</v>
      </c>
    </row>
    <row r="1809" spans="1:4" x14ac:dyDescent="0.25">
      <c r="A1809" t="str">
        <f>T("   392190")</f>
        <v xml:space="preserve">   392190</v>
      </c>
      <c r="B1809" t="s">
        <v>155</v>
      </c>
      <c r="C1809">
        <v>133214</v>
      </c>
      <c r="D1809">
        <v>107</v>
      </c>
    </row>
    <row r="1810" spans="1:4" x14ac:dyDescent="0.25">
      <c r="A1810" t="str">
        <f>T("   392210")</f>
        <v xml:space="preserve">   392210</v>
      </c>
      <c r="B1810" t="str">
        <f>T("   Baignoires, douches, éviers et lavabos, en matières plastiques")</f>
        <v xml:space="preserve">   Baignoires, douches, éviers et lavabos, en matières plastiques</v>
      </c>
      <c r="C1810">
        <v>20210023</v>
      </c>
      <c r="D1810">
        <v>41962</v>
      </c>
    </row>
    <row r="1811" spans="1:4" x14ac:dyDescent="0.25">
      <c r="A1811" t="str">
        <f>T("   392220")</f>
        <v xml:space="preserve">   392220</v>
      </c>
      <c r="B1811" t="str">
        <f>T("   Sièges et couvercles de cuvettes d'aisance, en matières plastiques")</f>
        <v xml:space="preserve">   Sièges et couvercles de cuvettes d'aisance, en matières plastiques</v>
      </c>
      <c r="C1811">
        <v>3206647</v>
      </c>
      <c r="D1811">
        <v>7948</v>
      </c>
    </row>
    <row r="1812" spans="1:4" x14ac:dyDescent="0.25">
      <c r="A1812" t="str">
        <f>T("   392290")</f>
        <v xml:space="preserve">   392290</v>
      </c>
      <c r="B1812"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812">
        <v>14089062</v>
      </c>
      <c r="D1812">
        <v>18398</v>
      </c>
    </row>
    <row r="1813" spans="1:4" x14ac:dyDescent="0.25">
      <c r="A1813" t="str">
        <f>T("   392310")</f>
        <v xml:space="preserve">   392310</v>
      </c>
      <c r="B1813" t="str">
        <f>T("   Boîtes, caisses, casiers et articles simil. pour le transport ou l'emballage, en matières plastiques")</f>
        <v xml:space="preserve">   Boîtes, caisses, casiers et articles simil. pour le transport ou l'emballage, en matières plastiques</v>
      </c>
      <c r="C1813">
        <v>8607820</v>
      </c>
      <c r="D1813">
        <v>11834</v>
      </c>
    </row>
    <row r="1814" spans="1:4" x14ac:dyDescent="0.25">
      <c r="A1814" t="str">
        <f>T("   392329")</f>
        <v xml:space="preserve">   392329</v>
      </c>
      <c r="B1814" t="str">
        <f>T("   Sacs, sachets, pochettes et cornets, en matières plastiques (autres que les polymères de l'éthylène)")</f>
        <v xml:space="preserve">   Sacs, sachets, pochettes et cornets, en matières plastiques (autres que les polymères de l'éthylène)</v>
      </c>
      <c r="C1814">
        <v>98931532</v>
      </c>
      <c r="D1814">
        <v>327987</v>
      </c>
    </row>
    <row r="1815" spans="1:4" x14ac:dyDescent="0.25">
      <c r="A1815" t="str">
        <f>T("   392330")</f>
        <v xml:space="preserve">   392330</v>
      </c>
      <c r="B1815" t="str">
        <f>T("   Bonbonnes, bouteilles, flacons et articles simil. pour le transport ou l'emballage, en matières plastiques")</f>
        <v xml:space="preserve">   Bonbonnes, bouteilles, flacons et articles simil. pour le transport ou l'emballage, en matières plastiques</v>
      </c>
      <c r="C1815">
        <v>42061776</v>
      </c>
      <c r="D1815">
        <v>37570</v>
      </c>
    </row>
    <row r="1816" spans="1:4" x14ac:dyDescent="0.25">
      <c r="A1816" t="str">
        <f>T("   392340")</f>
        <v xml:space="preserve">   392340</v>
      </c>
      <c r="B1816" t="str">
        <f>T("   Bobines, fusettes, canettes et supports simil., en matières plastiques")</f>
        <v xml:space="preserve">   Bobines, fusettes, canettes et supports simil., en matières plastiques</v>
      </c>
      <c r="C1816">
        <v>2161264</v>
      </c>
      <c r="D1816">
        <v>4643</v>
      </c>
    </row>
    <row r="1817" spans="1:4" x14ac:dyDescent="0.25">
      <c r="A1817" t="str">
        <f>T("   392350")</f>
        <v xml:space="preserve">   392350</v>
      </c>
      <c r="B1817" t="str">
        <f>T("   Bouchons, couvercles, capsules et autres dispositifs de fermeture, en matières plastiques")</f>
        <v xml:space="preserve">   Bouchons, couvercles, capsules et autres dispositifs de fermeture, en matières plastiques</v>
      </c>
      <c r="C1817">
        <v>4868179</v>
      </c>
      <c r="D1817">
        <v>6611</v>
      </c>
    </row>
    <row r="1818" spans="1:4" x14ac:dyDescent="0.25">
      <c r="A1818" t="str">
        <f>T("   392390")</f>
        <v xml:space="preserve">   392390</v>
      </c>
      <c r="B1818" t="s">
        <v>156</v>
      </c>
      <c r="C1818">
        <v>16885983</v>
      </c>
      <c r="D1818">
        <v>41403</v>
      </c>
    </row>
    <row r="1819" spans="1:4" x14ac:dyDescent="0.25">
      <c r="A1819" t="str">
        <f>T("   392410")</f>
        <v xml:space="preserve">   392410</v>
      </c>
      <c r="B1819" t="str">
        <f>T("   Vaisselle et autres articles pour le service de la table ou de la cuisine, en matières plastiques")</f>
        <v xml:space="preserve">   Vaisselle et autres articles pour le service de la table ou de la cuisine, en matières plastiques</v>
      </c>
      <c r="C1819">
        <v>815586128</v>
      </c>
      <c r="D1819">
        <v>4087132</v>
      </c>
    </row>
    <row r="1820" spans="1:4" x14ac:dyDescent="0.25">
      <c r="A1820" t="str">
        <f>T("   392490")</f>
        <v xml:space="preserve">   392490</v>
      </c>
      <c r="B1820" t="s">
        <v>157</v>
      </c>
      <c r="C1820">
        <v>442634508</v>
      </c>
      <c r="D1820">
        <v>2042465</v>
      </c>
    </row>
    <row r="1821" spans="1:4" x14ac:dyDescent="0.25">
      <c r="A1821" t="str">
        <f>T("   392520")</f>
        <v xml:space="preserve">   392520</v>
      </c>
      <c r="B1821" t="str">
        <f>T("   Portes, fenêtres et leurs cadres, chambranles et seuils, en matières plastiques")</f>
        <v xml:space="preserve">   Portes, fenêtres et leurs cadres, chambranles et seuils, en matières plastiques</v>
      </c>
      <c r="C1821">
        <v>14482913</v>
      </c>
      <c r="D1821">
        <v>40804</v>
      </c>
    </row>
    <row r="1822" spans="1:4" x14ac:dyDescent="0.25">
      <c r="A1822" t="str">
        <f>T("   392590")</f>
        <v xml:space="preserve">   392590</v>
      </c>
      <c r="B1822" t="s">
        <v>158</v>
      </c>
      <c r="C1822">
        <v>14808773</v>
      </c>
      <c r="D1822">
        <v>94821</v>
      </c>
    </row>
    <row r="1823" spans="1:4" x14ac:dyDescent="0.25">
      <c r="A1823" t="str">
        <f>T("   392610")</f>
        <v xml:space="preserve">   392610</v>
      </c>
      <c r="B1823" t="str">
        <f>T("   Articles de bureau et articles scolaires, en matières plastiques, n.d.a.")</f>
        <v xml:space="preserve">   Articles de bureau et articles scolaires, en matières plastiques, n.d.a.</v>
      </c>
      <c r="C1823">
        <v>55774638</v>
      </c>
      <c r="D1823">
        <v>76294</v>
      </c>
    </row>
    <row r="1824" spans="1:4" x14ac:dyDescent="0.25">
      <c r="A1824" t="str">
        <f>T("   392620")</f>
        <v xml:space="preserve">   392620</v>
      </c>
      <c r="B1824"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1824">
        <v>3627623</v>
      </c>
      <c r="D1824">
        <v>12212</v>
      </c>
    </row>
    <row r="1825" spans="1:4" x14ac:dyDescent="0.25">
      <c r="A1825" t="str">
        <f>T("   392630")</f>
        <v xml:space="preserve">   392630</v>
      </c>
      <c r="B1825"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1825">
        <v>599463</v>
      </c>
      <c r="D1825">
        <v>1830</v>
      </c>
    </row>
    <row r="1826" spans="1:4" x14ac:dyDescent="0.25">
      <c r="A1826" t="str">
        <f>T("   392640")</f>
        <v xml:space="preserve">   392640</v>
      </c>
      <c r="B1826" t="str">
        <f>T("   Statuettes et autres objets d'ornementation, en matières plastiques")</f>
        <v xml:space="preserve">   Statuettes et autres objets d'ornementation, en matières plastiques</v>
      </c>
      <c r="C1826">
        <v>8793723</v>
      </c>
      <c r="D1826">
        <v>37512</v>
      </c>
    </row>
    <row r="1827" spans="1:4" x14ac:dyDescent="0.25">
      <c r="A1827" t="str">
        <f>T("   392690")</f>
        <v xml:space="preserve">   392690</v>
      </c>
      <c r="B1827" t="str">
        <f>T("   Ouvrages en matières plastiques et ouvrages en autres matières du n° 3901 à 3914, n.d.a.")</f>
        <v xml:space="preserve">   Ouvrages en matières plastiques et ouvrages en autres matières du n° 3901 à 3914, n.d.a.</v>
      </c>
      <c r="C1827">
        <v>450090087</v>
      </c>
      <c r="D1827">
        <v>1349338.15</v>
      </c>
    </row>
    <row r="1828" spans="1:4" x14ac:dyDescent="0.25">
      <c r="A1828" t="str">
        <f>T("   400299")</f>
        <v xml:space="preserve">   400299</v>
      </c>
      <c r="B1828" t="s">
        <v>159</v>
      </c>
      <c r="C1828">
        <v>5103680</v>
      </c>
      <c r="D1828">
        <v>8006</v>
      </c>
    </row>
    <row r="1829" spans="1:4" x14ac:dyDescent="0.25">
      <c r="A1829" t="str">
        <f>T("   400911")</f>
        <v xml:space="preserve">   400911</v>
      </c>
      <c r="B182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829">
        <v>25221</v>
      </c>
      <c r="D1829">
        <v>2.2000000000000002</v>
      </c>
    </row>
    <row r="1830" spans="1:4" x14ac:dyDescent="0.25">
      <c r="A1830" t="str">
        <f>T("   400912")</f>
        <v xml:space="preserve">   400912</v>
      </c>
      <c r="B1830"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1830">
        <v>2593193</v>
      </c>
      <c r="D1830">
        <v>17600</v>
      </c>
    </row>
    <row r="1831" spans="1:4" x14ac:dyDescent="0.25">
      <c r="A1831" t="str">
        <f>T("   400941")</f>
        <v xml:space="preserve">   400941</v>
      </c>
      <c r="B1831"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1831">
        <v>12005830</v>
      </c>
      <c r="D1831">
        <v>15048</v>
      </c>
    </row>
    <row r="1832" spans="1:4" x14ac:dyDescent="0.25">
      <c r="A1832" t="str">
        <f>T("   401019")</f>
        <v xml:space="preserve">   401019</v>
      </c>
      <c r="B1832"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832">
        <v>5328560</v>
      </c>
      <c r="D1832">
        <v>7600</v>
      </c>
    </row>
    <row r="1833" spans="1:4" x14ac:dyDescent="0.25">
      <c r="A1833" t="str">
        <f>T("   401110")</f>
        <v xml:space="preserve">   401110</v>
      </c>
      <c r="B183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833">
        <v>623542197</v>
      </c>
      <c r="D1833">
        <v>740001</v>
      </c>
    </row>
    <row r="1834" spans="1:4" x14ac:dyDescent="0.25">
      <c r="A1834" t="str">
        <f>T("   401120")</f>
        <v xml:space="preserve">   401120</v>
      </c>
      <c r="B183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834">
        <v>1843350405</v>
      </c>
      <c r="D1834">
        <v>2534299</v>
      </c>
    </row>
    <row r="1835" spans="1:4" x14ac:dyDescent="0.25">
      <c r="A1835" t="str">
        <f>T("   401140")</f>
        <v xml:space="preserve">   401140</v>
      </c>
      <c r="B1835" t="str">
        <f>T("   Pneumatiques neufs, en caoutchouc, des types utilisés pour les motocycles")</f>
        <v xml:space="preserve">   Pneumatiques neufs, en caoutchouc, des types utilisés pour les motocycles</v>
      </c>
      <c r="C1835">
        <v>44065653</v>
      </c>
      <c r="D1835">
        <v>146765</v>
      </c>
    </row>
    <row r="1836" spans="1:4" x14ac:dyDescent="0.25">
      <c r="A1836" t="str">
        <f>T("   401169")</f>
        <v xml:space="preserve">   401169</v>
      </c>
      <c r="B1836" t="str">
        <f>T("   Pneumatiques neufs, en caoutchouc, à crampons, à chevrons ou simil. (à l'excl. des articles des types utilisés pour les véhicules et engins agricoles et forestiers, de génie civil et de manutention industrielle)")</f>
        <v xml:space="preserve">   Pneumatiques neufs, en caoutchouc, à crampons, à chevrons ou simil. (à l'excl. des articles des types utilisés pour les véhicules et engins agricoles et forestiers, de génie civil et de manutention industrielle)</v>
      </c>
      <c r="C1836">
        <v>11160553</v>
      </c>
      <c r="D1836">
        <v>30520</v>
      </c>
    </row>
    <row r="1837" spans="1:4" x14ac:dyDescent="0.25">
      <c r="A1837" t="str">
        <f>T("   401199")</f>
        <v xml:space="preserve">   401199</v>
      </c>
      <c r="B1837" t="s">
        <v>165</v>
      </c>
      <c r="C1837">
        <v>140606837</v>
      </c>
      <c r="D1837">
        <v>239892</v>
      </c>
    </row>
    <row r="1838" spans="1:4" x14ac:dyDescent="0.25">
      <c r="A1838" t="str">
        <f>T("   401211")</f>
        <v xml:space="preserve">   401211</v>
      </c>
      <c r="B1838"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1838">
        <v>690000</v>
      </c>
      <c r="D1838">
        <v>50</v>
      </c>
    </row>
    <row r="1839" spans="1:4" x14ac:dyDescent="0.25">
      <c r="A1839" t="str">
        <f>T("   401219")</f>
        <v xml:space="preserve">   401219</v>
      </c>
      <c r="B1839"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839">
        <v>25932722</v>
      </c>
      <c r="D1839">
        <v>93263</v>
      </c>
    </row>
    <row r="1840" spans="1:4" x14ac:dyDescent="0.25">
      <c r="A1840" t="str">
        <f>T("   401220")</f>
        <v xml:space="preserve">   401220</v>
      </c>
      <c r="B1840" t="str">
        <f>T("   Pneumatiques usagés, en caoutchouc")</f>
        <v xml:space="preserve">   Pneumatiques usagés, en caoutchouc</v>
      </c>
      <c r="C1840">
        <v>10822595</v>
      </c>
      <c r="D1840">
        <v>38005</v>
      </c>
    </row>
    <row r="1841" spans="1:4" x14ac:dyDescent="0.25">
      <c r="A1841" t="str">
        <f>T("   401310")</f>
        <v xml:space="preserve">   401310</v>
      </c>
      <c r="B184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841">
        <v>11027624</v>
      </c>
      <c r="D1841">
        <v>15584</v>
      </c>
    </row>
    <row r="1842" spans="1:4" x14ac:dyDescent="0.25">
      <c r="A1842" t="str">
        <f>T("   401320")</f>
        <v xml:space="preserve">   401320</v>
      </c>
      <c r="B1842" t="str">
        <f>T("   Chambres à air, en caoutchouc, des types utilisés pour les bicyclettes")</f>
        <v xml:space="preserve">   Chambres à air, en caoutchouc, des types utilisés pour les bicyclettes</v>
      </c>
      <c r="C1842">
        <v>6140442</v>
      </c>
      <c r="D1842">
        <v>15944</v>
      </c>
    </row>
    <row r="1843" spans="1:4" x14ac:dyDescent="0.25">
      <c r="A1843" t="str">
        <f>T("   401390")</f>
        <v xml:space="preserve">   401390</v>
      </c>
      <c r="B1843"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843">
        <v>14672755</v>
      </c>
      <c r="D1843">
        <v>62581</v>
      </c>
    </row>
    <row r="1844" spans="1:4" x14ac:dyDescent="0.25">
      <c r="A1844" t="str">
        <f>T("   401410")</f>
        <v xml:space="preserve">   401410</v>
      </c>
      <c r="B1844" t="str">
        <f>T("   Préservatifs en caoutchouc vulcanisé non durci")</f>
        <v xml:space="preserve">   Préservatifs en caoutchouc vulcanisé non durci</v>
      </c>
      <c r="C1844">
        <v>97480050</v>
      </c>
      <c r="D1844">
        <v>21979</v>
      </c>
    </row>
    <row r="1845" spans="1:4" x14ac:dyDescent="0.25">
      <c r="A1845" t="str">
        <f>T("   401511")</f>
        <v xml:space="preserve">   401511</v>
      </c>
      <c r="B1845" t="str">
        <f>T("   Gants en caoutchouc vulcanisé non durci, pour la chirurgie")</f>
        <v xml:space="preserve">   Gants en caoutchouc vulcanisé non durci, pour la chirurgie</v>
      </c>
      <c r="C1845">
        <v>1252212</v>
      </c>
      <c r="D1845">
        <v>1000</v>
      </c>
    </row>
    <row r="1846" spans="1:4" x14ac:dyDescent="0.25">
      <c r="A1846" t="str">
        <f>T("   401519")</f>
        <v xml:space="preserve">   401519</v>
      </c>
      <c r="B1846" t="str">
        <f>T("   GANTS, MITAINES ET MOUFLES, EN CAOUTCHOUC VULCANISÉ NON-DURCI (À L'EXCL. DES GANTS POUR LA CHIRURGIE)")</f>
        <v xml:space="preserve">   GANTS, MITAINES ET MOUFLES, EN CAOUTCHOUC VULCANISÉ NON-DURCI (À L'EXCL. DES GANTS POUR LA CHIRURGIE)</v>
      </c>
      <c r="C1846">
        <v>1050000</v>
      </c>
      <c r="D1846">
        <v>11862</v>
      </c>
    </row>
    <row r="1847" spans="1:4" x14ac:dyDescent="0.25">
      <c r="A1847" t="str">
        <f>T("   401691")</f>
        <v xml:space="preserve">   401691</v>
      </c>
      <c r="B1847" t="s">
        <v>166</v>
      </c>
      <c r="C1847">
        <v>11862947</v>
      </c>
      <c r="D1847">
        <v>35107</v>
      </c>
    </row>
    <row r="1848" spans="1:4" x14ac:dyDescent="0.25">
      <c r="A1848" t="str">
        <f>T("   401692")</f>
        <v xml:space="preserve">   401692</v>
      </c>
      <c r="B1848"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1848">
        <v>891722</v>
      </c>
      <c r="D1848">
        <v>2550</v>
      </c>
    </row>
    <row r="1849" spans="1:4" x14ac:dyDescent="0.25">
      <c r="A1849" t="str">
        <f>T("   401699")</f>
        <v xml:space="preserve">   401699</v>
      </c>
      <c r="B1849" t="str">
        <f>T("   OUVRAGES EN CAOUTCHOUC VULCANISÉ NON-DURCI, N.D.A.")</f>
        <v xml:space="preserve">   OUVRAGES EN CAOUTCHOUC VULCANISÉ NON-DURCI, N.D.A.</v>
      </c>
      <c r="C1849">
        <v>19070598</v>
      </c>
      <c r="D1849">
        <v>27397</v>
      </c>
    </row>
    <row r="1850" spans="1:4" x14ac:dyDescent="0.25">
      <c r="A1850" t="str">
        <f>T("   410150")</f>
        <v xml:space="preserve">   410150</v>
      </c>
      <c r="B1850" t="s">
        <v>168</v>
      </c>
      <c r="C1850">
        <v>50500</v>
      </c>
      <c r="D1850">
        <v>44</v>
      </c>
    </row>
    <row r="1851" spans="1:4" x14ac:dyDescent="0.25">
      <c r="A1851" t="str">
        <f>T("   420212")</f>
        <v xml:space="preserve">   420212</v>
      </c>
      <c r="B1851"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851">
        <v>11304896</v>
      </c>
      <c r="D1851">
        <v>22083</v>
      </c>
    </row>
    <row r="1852" spans="1:4" x14ac:dyDescent="0.25">
      <c r="A1852" t="str">
        <f>T("   420219")</f>
        <v xml:space="preserve">   420219</v>
      </c>
      <c r="B1852" t="s">
        <v>171</v>
      </c>
      <c r="C1852">
        <v>61096326</v>
      </c>
      <c r="D1852">
        <v>174129</v>
      </c>
    </row>
    <row r="1853" spans="1:4" x14ac:dyDescent="0.25">
      <c r="A1853" t="str">
        <f>T("   420221")</f>
        <v xml:space="preserve">   420221</v>
      </c>
      <c r="B1853"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1853">
        <v>5020000</v>
      </c>
      <c r="D1853">
        <v>15000</v>
      </c>
    </row>
    <row r="1854" spans="1:4" x14ac:dyDescent="0.25">
      <c r="A1854" t="str">
        <f>T("   420222")</f>
        <v xml:space="preserve">   420222</v>
      </c>
      <c r="B1854"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854">
        <v>20481169</v>
      </c>
      <c r="D1854">
        <v>62715</v>
      </c>
    </row>
    <row r="1855" spans="1:4" x14ac:dyDescent="0.25">
      <c r="A1855" t="str">
        <f>T("   420229")</f>
        <v xml:space="preserve">   420229</v>
      </c>
      <c r="B185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855">
        <v>1113001374</v>
      </c>
      <c r="D1855">
        <v>3467273</v>
      </c>
    </row>
    <row r="1856" spans="1:4" x14ac:dyDescent="0.25">
      <c r="A1856" t="str">
        <f>T("   420239")</f>
        <v xml:space="preserve">   420239</v>
      </c>
      <c r="B1856" t="s">
        <v>172</v>
      </c>
      <c r="C1856">
        <v>15388061</v>
      </c>
      <c r="D1856">
        <v>45150</v>
      </c>
    </row>
    <row r="1857" spans="1:4" x14ac:dyDescent="0.25">
      <c r="A1857" t="str">
        <f>T("   420291")</f>
        <v xml:space="preserve">   420291</v>
      </c>
      <c r="B1857" t="s">
        <v>173</v>
      </c>
      <c r="C1857">
        <v>3528000</v>
      </c>
      <c r="D1857">
        <v>26160</v>
      </c>
    </row>
    <row r="1858" spans="1:4" x14ac:dyDescent="0.25">
      <c r="A1858" t="str">
        <f>T("   420292")</f>
        <v xml:space="preserve">   420292</v>
      </c>
      <c r="B1858" t="s">
        <v>173</v>
      </c>
      <c r="C1858">
        <v>7276750</v>
      </c>
      <c r="D1858">
        <v>2174</v>
      </c>
    </row>
    <row r="1859" spans="1:4" x14ac:dyDescent="0.25">
      <c r="A1859" t="str">
        <f>T("   420299")</f>
        <v xml:space="preserve">   420299</v>
      </c>
      <c r="B1859" t="s">
        <v>174</v>
      </c>
      <c r="C1859">
        <v>233061158</v>
      </c>
      <c r="D1859">
        <v>689315</v>
      </c>
    </row>
    <row r="1860" spans="1:4" x14ac:dyDescent="0.25">
      <c r="A1860" t="str">
        <f>T("   420329")</f>
        <v xml:space="preserve">   420329</v>
      </c>
      <c r="B1860"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1860">
        <v>100000</v>
      </c>
      <c r="D1860">
        <v>100</v>
      </c>
    </row>
    <row r="1861" spans="1:4" x14ac:dyDescent="0.25">
      <c r="A1861" t="str">
        <f>T("   420330")</f>
        <v xml:space="preserve">   420330</v>
      </c>
      <c r="B1861" t="str">
        <f>T("   Ceintures, ceinturons et baudriers, en cuir naturel ou reconstitué")</f>
        <v xml:space="preserve">   Ceintures, ceinturons et baudriers, en cuir naturel ou reconstitué</v>
      </c>
      <c r="C1861">
        <v>12081944</v>
      </c>
      <c r="D1861">
        <v>52204</v>
      </c>
    </row>
    <row r="1862" spans="1:4" x14ac:dyDescent="0.25">
      <c r="A1862" t="str">
        <f>T("   420500")</f>
        <v xml:space="preserve">   420500</v>
      </c>
      <c r="B1862" t="s">
        <v>176</v>
      </c>
      <c r="C1862">
        <v>172458</v>
      </c>
      <c r="D1862">
        <v>100</v>
      </c>
    </row>
    <row r="1863" spans="1:4" x14ac:dyDescent="0.25">
      <c r="A1863" t="str">
        <f>T("   440399")</f>
        <v xml:space="preserve">   440399</v>
      </c>
      <c r="B1863" t="s">
        <v>178</v>
      </c>
      <c r="C1863">
        <v>50088464</v>
      </c>
      <c r="D1863">
        <v>136800</v>
      </c>
    </row>
    <row r="1864" spans="1:4" x14ac:dyDescent="0.25">
      <c r="A1864" t="str">
        <f>T("   440890")</f>
        <v xml:space="preserve">   440890</v>
      </c>
      <c r="B1864" t="s">
        <v>181</v>
      </c>
      <c r="C1864">
        <v>47046325</v>
      </c>
      <c r="D1864">
        <v>188000</v>
      </c>
    </row>
    <row r="1865" spans="1:4" x14ac:dyDescent="0.25">
      <c r="A1865" t="str">
        <f>T("   441113")</f>
        <v xml:space="preserve">   441113</v>
      </c>
      <c r="B1865" t="s">
        <v>185</v>
      </c>
      <c r="C1865">
        <v>11427097</v>
      </c>
      <c r="D1865">
        <v>54000</v>
      </c>
    </row>
    <row r="1866" spans="1:4" x14ac:dyDescent="0.25">
      <c r="A1866" t="str">
        <f>T("   441114")</f>
        <v xml:space="preserve">   441114</v>
      </c>
      <c r="B1866" t="s">
        <v>186</v>
      </c>
      <c r="C1866">
        <v>15669164</v>
      </c>
      <c r="D1866">
        <v>70200</v>
      </c>
    </row>
    <row r="1867" spans="1:4" x14ac:dyDescent="0.25">
      <c r="A1867" t="str">
        <f>T("   441191")</f>
        <v xml:space="preserve">   441191</v>
      </c>
      <c r="B1867" t="s">
        <v>187</v>
      </c>
      <c r="C1867">
        <v>2825000</v>
      </c>
      <c r="D1867">
        <v>2500</v>
      </c>
    </row>
    <row r="1868" spans="1:4" x14ac:dyDescent="0.25">
      <c r="A1868" t="str">
        <f>T("   441199")</f>
        <v xml:space="preserve">   441199</v>
      </c>
      <c r="B1868" t="s">
        <v>189</v>
      </c>
      <c r="C1868">
        <v>29919582</v>
      </c>
      <c r="D1868">
        <v>178650</v>
      </c>
    </row>
    <row r="1869" spans="1:4" x14ac:dyDescent="0.25">
      <c r="A1869" t="str">
        <f>T("   441212")</f>
        <v xml:space="preserve">   441212</v>
      </c>
      <c r="B1869" t="s">
        <v>191</v>
      </c>
      <c r="C1869">
        <v>10295364</v>
      </c>
      <c r="D1869">
        <v>23698</v>
      </c>
    </row>
    <row r="1870" spans="1:4" x14ac:dyDescent="0.25">
      <c r="A1870" t="str">
        <f>T("   441213")</f>
        <v xml:space="preserve">   441213</v>
      </c>
      <c r="B1870" t="s">
        <v>192</v>
      </c>
      <c r="C1870">
        <v>16095460</v>
      </c>
      <c r="D1870">
        <v>240000</v>
      </c>
    </row>
    <row r="1871" spans="1:4" x14ac:dyDescent="0.25">
      <c r="A1871" t="str">
        <f>T("   441219")</f>
        <v xml:space="preserve">   441219</v>
      </c>
      <c r="B1871" t="s">
        <v>193</v>
      </c>
      <c r="C1871">
        <v>8860000</v>
      </c>
      <c r="D1871">
        <v>39600</v>
      </c>
    </row>
    <row r="1872" spans="1:4" x14ac:dyDescent="0.25">
      <c r="A1872" t="str">
        <f>T("   441229")</f>
        <v xml:space="preserve">   441229</v>
      </c>
      <c r="B1872" t="s">
        <v>194</v>
      </c>
      <c r="C1872">
        <v>18000000</v>
      </c>
      <c r="D1872">
        <v>117700</v>
      </c>
    </row>
    <row r="1873" spans="1:4" x14ac:dyDescent="0.25">
      <c r="A1873" t="str">
        <f>T("   441232")</f>
        <v xml:space="preserve">   441232</v>
      </c>
      <c r="B1873" t="s">
        <v>196</v>
      </c>
      <c r="C1873">
        <v>10499895</v>
      </c>
      <c r="D1873">
        <v>26500</v>
      </c>
    </row>
    <row r="1874" spans="1:4" x14ac:dyDescent="0.25">
      <c r="A1874" t="str">
        <f>T("   441239")</f>
        <v xml:space="preserve">   441239</v>
      </c>
      <c r="B1874" t="s">
        <v>197</v>
      </c>
      <c r="C1874">
        <v>101961043</v>
      </c>
      <c r="D1874">
        <v>869200</v>
      </c>
    </row>
    <row r="1875" spans="1:4" x14ac:dyDescent="0.25">
      <c r="A1875" t="str">
        <f>T("   441299")</f>
        <v xml:space="preserve">   441299</v>
      </c>
      <c r="B1875" t="s">
        <v>198</v>
      </c>
      <c r="C1875">
        <v>164824031</v>
      </c>
      <c r="D1875">
        <v>632860</v>
      </c>
    </row>
    <row r="1876" spans="1:4" x14ac:dyDescent="0.25">
      <c r="A1876" t="str">
        <f>T("   441400")</f>
        <v xml:space="preserve">   441400</v>
      </c>
      <c r="B1876" t="str">
        <f>T("   Cadres en bois pour tableaux, photographies, miroirs ou objets simil.")</f>
        <v xml:space="preserve">   Cadres en bois pour tableaux, photographies, miroirs ou objets simil.</v>
      </c>
      <c r="C1876">
        <v>17955413</v>
      </c>
      <c r="D1876">
        <v>42195.6</v>
      </c>
    </row>
    <row r="1877" spans="1:4" x14ac:dyDescent="0.25">
      <c r="A1877" t="str">
        <f>T("   441810")</f>
        <v xml:space="preserve">   441810</v>
      </c>
      <c r="B1877" t="str">
        <f>T("   Fenêtres, portes-fenêtres et leurs cadres et chambranles, en bois")</f>
        <v xml:space="preserve">   Fenêtres, portes-fenêtres et leurs cadres et chambranles, en bois</v>
      </c>
      <c r="C1877">
        <v>4089980</v>
      </c>
      <c r="D1877">
        <v>7179</v>
      </c>
    </row>
    <row r="1878" spans="1:4" x14ac:dyDescent="0.25">
      <c r="A1878" t="str">
        <f>T("   441820")</f>
        <v xml:space="preserve">   441820</v>
      </c>
      <c r="B1878" t="str">
        <f>T("   Portes et leurs cadres, chambranles et seuils, en bois")</f>
        <v xml:space="preserve">   Portes et leurs cadres, chambranles et seuils, en bois</v>
      </c>
      <c r="C1878">
        <v>76779724</v>
      </c>
      <c r="D1878">
        <v>59240</v>
      </c>
    </row>
    <row r="1879" spans="1:4" x14ac:dyDescent="0.25">
      <c r="A1879" t="str">
        <f>T("   441840")</f>
        <v xml:space="preserve">   441840</v>
      </c>
      <c r="B1879" t="str">
        <f>T("   Coffrages pour le bétonnage, en bois (à l'excl. des panneaux en bois contre-plaqués)")</f>
        <v xml:space="preserve">   Coffrages pour le bétonnage, en bois (à l'excl. des panneaux en bois contre-plaqués)</v>
      </c>
      <c r="C1879">
        <v>102026706</v>
      </c>
      <c r="D1879">
        <v>259200</v>
      </c>
    </row>
    <row r="1880" spans="1:4" x14ac:dyDescent="0.25">
      <c r="A1880" t="str">
        <f>T("   441890")</f>
        <v xml:space="preserve">   441890</v>
      </c>
      <c r="B1880" t="s">
        <v>200</v>
      </c>
      <c r="C1880">
        <v>9532213</v>
      </c>
      <c r="D1880">
        <v>44939</v>
      </c>
    </row>
    <row r="1881" spans="1:4" x14ac:dyDescent="0.25">
      <c r="A1881" t="str">
        <f>T("   441900")</f>
        <v xml:space="preserve">   441900</v>
      </c>
      <c r="B1881" t="s">
        <v>201</v>
      </c>
      <c r="C1881">
        <v>1816854</v>
      </c>
      <c r="D1881">
        <v>3728</v>
      </c>
    </row>
    <row r="1882" spans="1:4" x14ac:dyDescent="0.25">
      <c r="A1882" t="str">
        <f>T("   442090")</f>
        <v xml:space="preserve">   442090</v>
      </c>
      <c r="B1882" t="s">
        <v>202</v>
      </c>
      <c r="C1882">
        <v>580771</v>
      </c>
      <c r="D1882">
        <v>1100</v>
      </c>
    </row>
    <row r="1883" spans="1:4" x14ac:dyDescent="0.25">
      <c r="A1883" t="str">
        <f>T("   442190")</f>
        <v xml:space="preserve">   442190</v>
      </c>
      <c r="B1883" t="str">
        <f>T("   Ouvrages, en bois, n.d.a.")</f>
        <v xml:space="preserve">   Ouvrages, en bois, n.d.a.</v>
      </c>
      <c r="C1883">
        <v>55723695</v>
      </c>
      <c r="D1883">
        <v>281629</v>
      </c>
    </row>
    <row r="1884" spans="1:4" x14ac:dyDescent="0.25">
      <c r="A1884" t="str">
        <f>T("   460199")</f>
        <v xml:space="preserve">   460199</v>
      </c>
      <c r="B1884"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1884">
        <v>4357500</v>
      </c>
      <c r="D1884">
        <v>25800</v>
      </c>
    </row>
    <row r="1885" spans="1:4" x14ac:dyDescent="0.25">
      <c r="A1885" t="str">
        <f>T("   480256")</f>
        <v xml:space="preserve">   480256</v>
      </c>
      <c r="B1885" t="s">
        <v>207</v>
      </c>
      <c r="C1885">
        <v>7716336</v>
      </c>
      <c r="D1885">
        <v>59005</v>
      </c>
    </row>
    <row r="1886" spans="1:4" x14ac:dyDescent="0.25">
      <c r="A1886" t="str">
        <f>T("   480257")</f>
        <v xml:space="preserve">   480257</v>
      </c>
      <c r="B1886" t="s">
        <v>208</v>
      </c>
      <c r="C1886">
        <v>205534983</v>
      </c>
      <c r="D1886">
        <v>442157</v>
      </c>
    </row>
    <row r="1887" spans="1:4" x14ac:dyDescent="0.25">
      <c r="A1887" t="str">
        <f>T("   480258")</f>
        <v xml:space="preserve">   480258</v>
      </c>
      <c r="B1887" t="s">
        <v>209</v>
      </c>
      <c r="C1887">
        <v>55219138</v>
      </c>
      <c r="D1887">
        <v>121254</v>
      </c>
    </row>
    <row r="1888" spans="1:4" x14ac:dyDescent="0.25">
      <c r="A1888" t="str">
        <f>T("   480269")</f>
        <v xml:space="preserve">   480269</v>
      </c>
      <c r="B1888" t="s">
        <v>208</v>
      </c>
      <c r="C1888">
        <v>7441798</v>
      </c>
      <c r="D1888">
        <v>32065</v>
      </c>
    </row>
    <row r="1889" spans="1:4" x14ac:dyDescent="0.25">
      <c r="A1889" t="str">
        <f>T("   480300")</f>
        <v xml:space="preserve">   480300</v>
      </c>
      <c r="B1889" t="s">
        <v>211</v>
      </c>
      <c r="C1889">
        <v>31128617</v>
      </c>
      <c r="D1889">
        <v>28972</v>
      </c>
    </row>
    <row r="1890" spans="1:4" x14ac:dyDescent="0.25">
      <c r="A1890" t="str">
        <f>T("   480459")</f>
        <v xml:space="preserve">   480459</v>
      </c>
      <c r="B1890" t="s">
        <v>214</v>
      </c>
      <c r="C1890">
        <v>4481</v>
      </c>
      <c r="D1890">
        <v>5</v>
      </c>
    </row>
    <row r="1891" spans="1:4" x14ac:dyDescent="0.25">
      <c r="A1891" t="str">
        <f>T("   480530")</f>
        <v xml:space="preserve">   480530</v>
      </c>
      <c r="B1891" t="str">
        <f>T("   PAPIER SULFITE D'EMBALLAGE, NON-COUCHÉ NI ENDUIT, EN ROULEAUX D'UNE LARGEUR &gt; 36 CM OU EN FEUILLES DE FORME CARRÉE OU RECTANGULAIRE DONT AU MOINS UN CÔTÉ &gt; 36 CM ET L'AUTRE &gt; 15 CM À L'ÉTAT NON-PLIÉ")</f>
        <v xml:space="preserve">   PAPIER SULFITE D'EMBALLAGE, NON-COUCHÉ NI ENDUIT, EN ROULEAUX D'UNE LARGEUR &gt; 36 CM OU EN FEUILLES DE FORME CARRÉE OU RECTANGULAIRE DONT AU MOINS UN CÔTÉ &gt; 36 CM ET L'AUTRE &gt; 15 CM À L'ÉTAT NON-PLIÉ</v>
      </c>
      <c r="C1891">
        <v>330155</v>
      </c>
      <c r="D1891">
        <v>420</v>
      </c>
    </row>
    <row r="1892" spans="1:4" x14ac:dyDescent="0.25">
      <c r="A1892" t="str">
        <f>T("   480593")</f>
        <v xml:space="preserve">   480593</v>
      </c>
      <c r="B1892"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1892">
        <v>48026470</v>
      </c>
      <c r="D1892">
        <v>152809</v>
      </c>
    </row>
    <row r="1893" spans="1:4" x14ac:dyDescent="0.25">
      <c r="A1893" t="str">
        <f>T("   480810")</f>
        <v xml:space="preserve">   480810</v>
      </c>
      <c r="B1893" t="str">
        <f>T("   Papiers et cartons ondulés, même avec recouvrement par collage, même perforés, en rouleaux d'une largeur &gt; 36 cm ou en feuilles de forme carrée ou rectangulaire dont au moins un coté &gt; 36 cm et l'autre &gt; 15 cm à l'état non plié")</f>
        <v xml:space="preserve">   Papiers et cartons ondulés, même avec recouvrement par collage, même perforés, en rouleaux d'une largeur &gt; 36 cm ou en feuilles de forme carrée ou rectangulaire dont au moins un coté &gt; 36 cm et l'autre &gt; 15 cm à l'état non plié</v>
      </c>
      <c r="C1893">
        <v>19124185</v>
      </c>
      <c r="D1893">
        <v>50540</v>
      </c>
    </row>
    <row r="1894" spans="1:4" x14ac:dyDescent="0.25">
      <c r="A1894" t="str">
        <f>T("   480830")</f>
        <v xml:space="preserve">   480830</v>
      </c>
      <c r="B1894" t="s">
        <v>218</v>
      </c>
      <c r="C1894">
        <v>5611288</v>
      </c>
      <c r="D1894">
        <v>15083</v>
      </c>
    </row>
    <row r="1895" spans="1:4" x14ac:dyDescent="0.25">
      <c r="A1895" t="str">
        <f>T("   480890")</f>
        <v xml:space="preserve">   480890</v>
      </c>
      <c r="B1895" t="s">
        <v>219</v>
      </c>
      <c r="C1895">
        <v>551506</v>
      </c>
      <c r="D1895">
        <v>886</v>
      </c>
    </row>
    <row r="1896" spans="1:4" x14ac:dyDescent="0.25">
      <c r="A1896" t="str">
        <f>T("   480920")</f>
        <v xml:space="preserve">   480920</v>
      </c>
      <c r="B1896"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1896">
        <v>105818580</v>
      </c>
      <c r="D1896">
        <v>143480</v>
      </c>
    </row>
    <row r="1897" spans="1:4" x14ac:dyDescent="0.25">
      <c r="A1897" t="str">
        <f>T("   480990")</f>
        <v xml:space="preserve">   480990</v>
      </c>
      <c r="B1897" t="s">
        <v>220</v>
      </c>
      <c r="C1897">
        <v>7527761</v>
      </c>
      <c r="D1897">
        <v>14365</v>
      </c>
    </row>
    <row r="1898" spans="1:4" x14ac:dyDescent="0.25">
      <c r="A1898" t="str">
        <f>T("   481014")</f>
        <v xml:space="preserve">   481014</v>
      </c>
      <c r="B1898" t="s">
        <v>221</v>
      </c>
      <c r="C1898">
        <v>2203030</v>
      </c>
      <c r="D1898">
        <v>7790</v>
      </c>
    </row>
    <row r="1899" spans="1:4" x14ac:dyDescent="0.25">
      <c r="A1899" t="str">
        <f>T("   481019")</f>
        <v xml:space="preserve">   481019</v>
      </c>
      <c r="B1899" t="s">
        <v>221</v>
      </c>
      <c r="C1899">
        <v>14104775</v>
      </c>
      <c r="D1899">
        <v>79340</v>
      </c>
    </row>
    <row r="1900" spans="1:4" x14ac:dyDescent="0.25">
      <c r="A1900" t="str">
        <f>T("   481029")</f>
        <v xml:space="preserve">   481029</v>
      </c>
      <c r="B1900" t="s">
        <v>222</v>
      </c>
      <c r="C1900">
        <v>33143507</v>
      </c>
      <c r="D1900">
        <v>75068</v>
      </c>
    </row>
    <row r="1901" spans="1:4" x14ac:dyDescent="0.25">
      <c r="A1901" t="str">
        <f>T("   481099")</f>
        <v xml:space="preserve">   481099</v>
      </c>
      <c r="B1901" t="s">
        <v>225</v>
      </c>
      <c r="C1901">
        <v>66405363</v>
      </c>
      <c r="D1901">
        <v>184264</v>
      </c>
    </row>
    <row r="1902" spans="1:4" x14ac:dyDescent="0.25">
      <c r="A1902" t="str">
        <f>T("   481160")</f>
        <v xml:space="preserve">   481160</v>
      </c>
      <c r="B1902" t="str">
        <f>T("   Papiers et cartons enduits, imprégnés ou recouverts de cire, de paraffine, de stéarine, d'huile ou de glycérol, en rouleaux ou en feuilles de forme carrée ou rectangulaire, de tout format (à l'excl. des produits du n° 4803, 4809 ou 4818)")</f>
        <v xml:space="preserve">   Papiers et cartons enduits, imprégnés ou recouverts de cire, de paraffine, de stéarine, d'huile ou de glycérol, en rouleaux ou en feuilles de forme carrée ou rectangulaire, de tout format (à l'excl. des produits du n° 4803, 4809 ou 4818)</v>
      </c>
      <c r="C1902">
        <v>2624</v>
      </c>
      <c r="D1902">
        <v>2</v>
      </c>
    </row>
    <row r="1903" spans="1:4" x14ac:dyDescent="0.25">
      <c r="A1903" t="str">
        <f>T("   481490")</f>
        <v xml:space="preserve">   481490</v>
      </c>
      <c r="B1903" t="s">
        <v>229</v>
      </c>
      <c r="C1903">
        <v>5940000</v>
      </c>
      <c r="D1903">
        <v>40000</v>
      </c>
    </row>
    <row r="1904" spans="1:4" x14ac:dyDescent="0.25">
      <c r="A1904" t="str">
        <f>T("   481810")</f>
        <v xml:space="preserve">   481810</v>
      </c>
      <c r="B1904" t="str">
        <f>T("   Papier hygiénique, en rouleaux d'une largeur &lt;= 36 cm")</f>
        <v xml:space="preserve">   Papier hygiénique, en rouleaux d'une largeur &lt;= 36 cm</v>
      </c>
      <c r="C1904">
        <v>140972480</v>
      </c>
      <c r="D1904">
        <v>419206</v>
      </c>
    </row>
    <row r="1905" spans="1:4" x14ac:dyDescent="0.25">
      <c r="A1905" t="str">
        <f>T("   481820")</f>
        <v xml:space="preserve">   481820</v>
      </c>
      <c r="B190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905">
        <v>9365611</v>
      </c>
      <c r="D1905">
        <v>51567</v>
      </c>
    </row>
    <row r="1906" spans="1:4" x14ac:dyDescent="0.25">
      <c r="A1906" t="str">
        <f>T("   481830")</f>
        <v xml:space="preserve">   481830</v>
      </c>
      <c r="B1906" t="str">
        <f>T("   Nappes et serviettes de table, en pâte à papier, papier, ouate de cellulose ou nappes de fibres de cellulose")</f>
        <v xml:space="preserve">   Nappes et serviettes de table, en pâte à papier, papier, ouate de cellulose ou nappes de fibres de cellulose</v>
      </c>
      <c r="C1906">
        <v>23122483</v>
      </c>
      <c r="D1906">
        <v>104128</v>
      </c>
    </row>
    <row r="1907" spans="1:4" x14ac:dyDescent="0.25">
      <c r="A1907" t="str">
        <f>T("   481840")</f>
        <v xml:space="preserve">   481840</v>
      </c>
      <c r="B190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907">
        <v>195249235</v>
      </c>
      <c r="D1907">
        <v>370218</v>
      </c>
    </row>
    <row r="1908" spans="1:4" x14ac:dyDescent="0.25">
      <c r="A1908" t="str">
        <f>T("   481890")</f>
        <v xml:space="preserve">   481890</v>
      </c>
      <c r="B1908" t="s">
        <v>232</v>
      </c>
      <c r="C1908">
        <v>1072684</v>
      </c>
      <c r="D1908">
        <v>2880</v>
      </c>
    </row>
    <row r="1909" spans="1:4" x14ac:dyDescent="0.25">
      <c r="A1909" t="str">
        <f>T("   481910")</f>
        <v xml:space="preserve">   481910</v>
      </c>
      <c r="B1909" t="str">
        <f>T("   Boîtes et caisses en papier ou en carton ondulé")</f>
        <v xml:space="preserve">   Boîtes et caisses en papier ou en carton ondulé</v>
      </c>
      <c r="C1909">
        <v>46959578</v>
      </c>
      <c r="D1909">
        <v>185412</v>
      </c>
    </row>
    <row r="1910" spans="1:4" x14ac:dyDescent="0.25">
      <c r="A1910" t="str">
        <f>T("   481920")</f>
        <v xml:space="preserve">   481920</v>
      </c>
      <c r="B1910" t="str">
        <f>T("   Boîtes et cartonnages, pliants, en papier ou en carton non ondulé")</f>
        <v xml:space="preserve">   Boîtes et cartonnages, pliants, en papier ou en carton non ondulé</v>
      </c>
      <c r="C1910">
        <v>2847688</v>
      </c>
      <c r="D1910">
        <v>22314</v>
      </c>
    </row>
    <row r="1911" spans="1:4" x14ac:dyDescent="0.25">
      <c r="A1911" t="str">
        <f>T("   481950")</f>
        <v xml:space="preserve">   481950</v>
      </c>
      <c r="B1911" t="s">
        <v>233</v>
      </c>
      <c r="C1911">
        <v>46396369</v>
      </c>
      <c r="D1911">
        <v>189434</v>
      </c>
    </row>
    <row r="1912" spans="1:4" x14ac:dyDescent="0.25">
      <c r="A1912" t="str">
        <f>T("   481960")</f>
        <v xml:space="preserve">   481960</v>
      </c>
      <c r="B1912" t="str">
        <f>T("   Cartonnages de bureau, de magasin ou simil., rigides (à l'excl. des emballages)")</f>
        <v xml:space="preserve">   Cartonnages de bureau, de magasin ou simil., rigides (à l'excl. des emballages)</v>
      </c>
      <c r="C1912">
        <v>6430386</v>
      </c>
      <c r="D1912">
        <v>33861</v>
      </c>
    </row>
    <row r="1913" spans="1:4" x14ac:dyDescent="0.25">
      <c r="A1913" t="str">
        <f>T("   482010")</f>
        <v xml:space="preserve">   482010</v>
      </c>
      <c r="B1913"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913">
        <v>14908174</v>
      </c>
      <c r="D1913">
        <v>37864</v>
      </c>
    </row>
    <row r="1914" spans="1:4" x14ac:dyDescent="0.25">
      <c r="A1914" t="str">
        <f>T("   482020")</f>
        <v xml:space="preserve">   482020</v>
      </c>
      <c r="B1914" t="str">
        <f>T("   Cahiers pour l'écriture, en papier ou carton")</f>
        <v xml:space="preserve">   Cahiers pour l'écriture, en papier ou carton</v>
      </c>
      <c r="C1914">
        <v>184965767</v>
      </c>
      <c r="D1914">
        <v>881199</v>
      </c>
    </row>
    <row r="1915" spans="1:4" x14ac:dyDescent="0.25">
      <c r="A1915" t="str">
        <f>T("   482030")</f>
        <v xml:space="preserve">   482030</v>
      </c>
      <c r="B1915" t="str">
        <f>T("   Classeurs, reliures (autres que les couvertures pour livres), chemises et couvertures à dossiers, en papier ou en carton")</f>
        <v xml:space="preserve">   Classeurs, reliures (autres que les couvertures pour livres), chemises et couvertures à dossiers, en papier ou en carton</v>
      </c>
      <c r="C1915">
        <v>25784958</v>
      </c>
      <c r="D1915">
        <v>65186</v>
      </c>
    </row>
    <row r="1916" spans="1:4" x14ac:dyDescent="0.25">
      <c r="A1916" t="str">
        <f>T("   482040")</f>
        <v xml:space="preserve">   482040</v>
      </c>
      <c r="B1916" t="str">
        <f>T("   Liasses et carnets manifold, même comportant des feuilles de papier carbone, en papier ou carton")</f>
        <v xml:space="preserve">   Liasses et carnets manifold, même comportant des feuilles de papier carbone, en papier ou carton</v>
      </c>
      <c r="C1916">
        <v>1410314</v>
      </c>
      <c r="D1916">
        <v>4600</v>
      </c>
    </row>
    <row r="1917" spans="1:4" x14ac:dyDescent="0.25">
      <c r="A1917" t="str">
        <f>T("   482050")</f>
        <v xml:space="preserve">   482050</v>
      </c>
      <c r="B1917" t="str">
        <f>T("   Albums pour échantillonnages ou pour collections, en papier ou en carton")</f>
        <v xml:space="preserve">   Albums pour échantillonnages ou pour collections, en papier ou en carton</v>
      </c>
      <c r="C1917">
        <v>14639649</v>
      </c>
      <c r="D1917">
        <v>51896</v>
      </c>
    </row>
    <row r="1918" spans="1:4" x14ac:dyDescent="0.25">
      <c r="A1918" t="str">
        <f>T("   482090")</f>
        <v xml:space="preserve">   482090</v>
      </c>
      <c r="B1918" t="s">
        <v>234</v>
      </c>
      <c r="C1918">
        <v>46440936</v>
      </c>
      <c r="D1918">
        <v>60060</v>
      </c>
    </row>
    <row r="1919" spans="1:4" x14ac:dyDescent="0.25">
      <c r="A1919" t="str">
        <f>T("   482190")</f>
        <v xml:space="preserve">   482190</v>
      </c>
      <c r="B1919" t="str">
        <f>T("   ÉTIQUETTES DE TOUS GENRES, EN PAPIER OU EN CARTON, NON-IMPRIMÉES")</f>
        <v xml:space="preserve">   ÉTIQUETTES DE TOUS GENRES, EN PAPIER OU EN CARTON, NON-IMPRIMÉES</v>
      </c>
      <c r="C1919">
        <v>2273361</v>
      </c>
      <c r="D1919">
        <v>2000</v>
      </c>
    </row>
    <row r="1920" spans="1:4" x14ac:dyDescent="0.25">
      <c r="A1920" t="str">
        <f>T("   482340")</f>
        <v xml:space="preserve">   482340</v>
      </c>
      <c r="B1920"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1920">
        <v>11972561</v>
      </c>
      <c r="D1920">
        <v>20120</v>
      </c>
    </row>
    <row r="1921" spans="1:4" x14ac:dyDescent="0.25">
      <c r="A1921" t="str">
        <f>T("   482360")</f>
        <v xml:space="preserve">   482360</v>
      </c>
      <c r="B1921" t="str">
        <f>T("   Plateaux, plats, assiettes, tasses, gobelets et articles simil., en papier ou en carton")</f>
        <v xml:space="preserve">   Plateaux, plats, assiettes, tasses, gobelets et articles simil., en papier ou en carton</v>
      </c>
      <c r="C1921">
        <v>18085000</v>
      </c>
      <c r="D1921">
        <v>90137</v>
      </c>
    </row>
    <row r="1922" spans="1:4" x14ac:dyDescent="0.25">
      <c r="A1922" t="str">
        <f>T("   482390")</f>
        <v xml:space="preserve">   482390</v>
      </c>
      <c r="B1922" t="s">
        <v>235</v>
      </c>
      <c r="C1922">
        <v>7649043</v>
      </c>
      <c r="D1922">
        <v>60240</v>
      </c>
    </row>
    <row r="1923" spans="1:4" x14ac:dyDescent="0.25">
      <c r="A1923" t="str">
        <f>T("   490191")</f>
        <v xml:space="preserve">   490191</v>
      </c>
      <c r="B1923" t="str">
        <f>T("   Dictionnaires et encyclopédies, même en fascicules")</f>
        <v xml:space="preserve">   Dictionnaires et encyclopédies, même en fascicules</v>
      </c>
      <c r="C1923">
        <v>16399</v>
      </c>
      <c r="D1923">
        <v>8</v>
      </c>
    </row>
    <row r="1924" spans="1:4" x14ac:dyDescent="0.25">
      <c r="A1924" t="str">
        <f>T("   490199")</f>
        <v xml:space="preserve">   490199</v>
      </c>
      <c r="B192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924">
        <v>20499713</v>
      </c>
      <c r="D1924">
        <v>67120</v>
      </c>
    </row>
    <row r="1925" spans="1:4" x14ac:dyDescent="0.25">
      <c r="A1925" t="str">
        <f>T("   490890")</f>
        <v xml:space="preserve">   490890</v>
      </c>
      <c r="B1925" t="str">
        <f>T("   Décalcomanies de tous genres (à l'excl. des articles vitrifiables)")</f>
        <v xml:space="preserve">   Décalcomanies de tous genres (à l'excl. des articles vitrifiables)</v>
      </c>
      <c r="C1925">
        <v>328773</v>
      </c>
      <c r="D1925">
        <v>78</v>
      </c>
    </row>
    <row r="1926" spans="1:4" x14ac:dyDescent="0.25">
      <c r="A1926" t="str">
        <f>T("   490900")</f>
        <v xml:space="preserve">   490900</v>
      </c>
      <c r="B1926"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1926">
        <v>3270000</v>
      </c>
      <c r="D1926">
        <v>10200</v>
      </c>
    </row>
    <row r="1927" spans="1:4" x14ac:dyDescent="0.25">
      <c r="A1927" t="str">
        <f>T("   491000")</f>
        <v xml:space="preserve">   491000</v>
      </c>
      <c r="B1927" t="str">
        <f>T("   Calendriers de tous genres, imprimés, y.c. les blocs de calendriers à effeuiller")</f>
        <v xml:space="preserve">   Calendriers de tous genres, imprimés, y.c. les blocs de calendriers à effeuiller</v>
      </c>
      <c r="C1927">
        <v>15106164</v>
      </c>
      <c r="D1927">
        <v>35508</v>
      </c>
    </row>
    <row r="1928" spans="1:4" x14ac:dyDescent="0.25">
      <c r="A1928" t="str">
        <f>T("   491110")</f>
        <v xml:space="preserve">   491110</v>
      </c>
      <c r="B1928" t="str">
        <f>T("   Imprimés publicitaires, catalogues commerciaux et simil.")</f>
        <v xml:space="preserve">   Imprimés publicitaires, catalogues commerciaux et simil.</v>
      </c>
      <c r="C1928">
        <v>518473</v>
      </c>
      <c r="D1928">
        <v>141</v>
      </c>
    </row>
    <row r="1929" spans="1:4" x14ac:dyDescent="0.25">
      <c r="A1929" t="str">
        <f>T("   491191")</f>
        <v xml:space="preserve">   491191</v>
      </c>
      <c r="B1929" t="str">
        <f>T("   Images, gravures et photographies, n.d.a.")</f>
        <v xml:space="preserve">   Images, gravures et photographies, n.d.a.</v>
      </c>
      <c r="C1929">
        <v>2767578</v>
      </c>
      <c r="D1929">
        <v>18080</v>
      </c>
    </row>
    <row r="1930" spans="1:4" x14ac:dyDescent="0.25">
      <c r="A1930" t="str">
        <f>T("   491199")</f>
        <v xml:space="preserve">   491199</v>
      </c>
      <c r="B1930" t="str">
        <f>T("   Imprimés, n.d.a.")</f>
        <v xml:space="preserve">   Imprimés, n.d.a.</v>
      </c>
      <c r="C1930">
        <v>79871469</v>
      </c>
      <c r="D1930">
        <v>13666</v>
      </c>
    </row>
    <row r="1931" spans="1:4" x14ac:dyDescent="0.25">
      <c r="A1931" t="str">
        <f>T("   500790")</f>
        <v xml:space="preserve">   500790</v>
      </c>
      <c r="B1931"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1931">
        <v>10935175</v>
      </c>
      <c r="D1931">
        <v>46068</v>
      </c>
    </row>
    <row r="1932" spans="1:4" x14ac:dyDescent="0.25">
      <c r="A1932" t="str">
        <f>T("   510529")</f>
        <v xml:space="preserve">   510529</v>
      </c>
      <c r="B1932" t="str">
        <f>T("   Laine peignée (à l'excl. de la 'laine peignée en vrac')")</f>
        <v xml:space="preserve">   Laine peignée (à l'excl. de la 'laine peignée en vrac')</v>
      </c>
      <c r="C1932">
        <v>1490442</v>
      </c>
      <c r="D1932">
        <v>5735</v>
      </c>
    </row>
    <row r="1933" spans="1:4" x14ac:dyDescent="0.25">
      <c r="A1933" t="str">
        <f>T("   520100")</f>
        <v xml:space="preserve">   520100</v>
      </c>
      <c r="B1933" t="str">
        <f>T("   COTON, NON-CARDÉ NI PEIGNÉ")</f>
        <v xml:space="preserve">   COTON, NON-CARDÉ NI PEIGNÉ</v>
      </c>
      <c r="C1933">
        <v>400000</v>
      </c>
      <c r="D1933">
        <v>3520</v>
      </c>
    </row>
    <row r="1934" spans="1:4" x14ac:dyDescent="0.25">
      <c r="A1934" t="str">
        <f>T("   520300")</f>
        <v xml:space="preserve">   520300</v>
      </c>
      <c r="B1934" t="str">
        <f>T("   Coton, cardé ou peigné")</f>
        <v xml:space="preserve">   Coton, cardé ou peigné</v>
      </c>
      <c r="C1934">
        <v>5445615</v>
      </c>
      <c r="D1934">
        <v>8888</v>
      </c>
    </row>
    <row r="1935" spans="1:4" x14ac:dyDescent="0.25">
      <c r="A1935" t="str">
        <f>T("   520420")</f>
        <v xml:space="preserve">   520420</v>
      </c>
      <c r="B1935" t="str">
        <f>T("   Fils à coudre de coton, conditionnés pour la vente au détail")</f>
        <v xml:space="preserve">   Fils à coudre de coton, conditionnés pour la vente au détail</v>
      </c>
      <c r="C1935">
        <v>69902041</v>
      </c>
      <c r="D1935">
        <v>154836</v>
      </c>
    </row>
    <row r="1936" spans="1:4" x14ac:dyDescent="0.25">
      <c r="A1936" t="str">
        <f>T("   520829")</f>
        <v xml:space="preserve">   520829</v>
      </c>
      <c r="B1936"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936">
        <v>190680000</v>
      </c>
      <c r="D1936">
        <v>336933</v>
      </c>
    </row>
    <row r="1937" spans="1:4" x14ac:dyDescent="0.25">
      <c r="A1937" t="str">
        <f>T("   520839")</f>
        <v xml:space="preserve">   520839</v>
      </c>
      <c r="B1937"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1937">
        <v>298738</v>
      </c>
      <c r="D1937">
        <v>800</v>
      </c>
    </row>
    <row r="1938" spans="1:4" x14ac:dyDescent="0.25">
      <c r="A1938" t="str">
        <f>T("   520849")</f>
        <v xml:space="preserve">   520849</v>
      </c>
      <c r="B1938"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1938">
        <v>542663138</v>
      </c>
      <c r="D1938">
        <v>767794</v>
      </c>
    </row>
    <row r="1939" spans="1:4" x14ac:dyDescent="0.25">
      <c r="A1939" t="str">
        <f>T("   520851")</f>
        <v xml:space="preserve">   520851</v>
      </c>
      <c r="B1939" t="str">
        <f>T("   Tissus de coton, imprimés, à armure toile, contenant &gt;= 85% en poids de coton, d'un poids &lt;= 100 g/m²")</f>
        <v xml:space="preserve">   Tissus de coton, imprimés, à armure toile, contenant &gt;= 85% en poids de coton, d'un poids &lt;= 100 g/m²</v>
      </c>
      <c r="C1939">
        <v>915229134</v>
      </c>
      <c r="D1939">
        <v>1433309</v>
      </c>
    </row>
    <row r="1940" spans="1:4" x14ac:dyDescent="0.25">
      <c r="A1940" t="str">
        <f>T("   520852")</f>
        <v xml:space="preserve">   520852</v>
      </c>
      <c r="B1940" t="str">
        <f>T("   Tissus de coton, imprimés, à armure toile, contenant &gt;= 85% en poids de coton, d'un poids &gt; 100 g/m² mais &lt;= 200 g/m²")</f>
        <v xml:space="preserve">   Tissus de coton, imprimés, à armure toile, contenant &gt;= 85% en poids de coton, d'un poids &gt; 100 g/m² mais &lt;= 200 g/m²</v>
      </c>
      <c r="C1940">
        <v>3446310148</v>
      </c>
      <c r="D1940">
        <v>4420005</v>
      </c>
    </row>
    <row r="1941" spans="1:4" x14ac:dyDescent="0.25">
      <c r="A1941" t="str">
        <f>T("   520859")</f>
        <v xml:space="preserve">   520859</v>
      </c>
      <c r="B1941" t="str">
        <f>T("   TISSUS DE COTON, IMPRIMÉS, CONTENANT &gt;= 85% EN POIDS DE COTON, D'UN POIDS &lt;= 200 G/M² (À L'EXCL. DES TISSUS À ARMURE TOILE)")</f>
        <v xml:space="preserve">   TISSUS DE COTON, IMPRIMÉS, CONTENANT &gt;= 85% EN POIDS DE COTON, D'UN POIDS &lt;= 200 G/M² (À L'EXCL. DES TISSUS À ARMURE TOILE)</v>
      </c>
      <c r="C1941">
        <v>480096530</v>
      </c>
      <c r="D1941">
        <v>760734</v>
      </c>
    </row>
    <row r="1942" spans="1:4" x14ac:dyDescent="0.25">
      <c r="A1942" t="str">
        <f>T("   520929")</f>
        <v xml:space="preserve">   520929</v>
      </c>
      <c r="B1942"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1942">
        <v>149762808</v>
      </c>
      <c r="D1942">
        <v>226700</v>
      </c>
    </row>
    <row r="1943" spans="1:4" x14ac:dyDescent="0.25">
      <c r="A1943" t="str">
        <f>T("   520949")</f>
        <v xml:space="preserve">   520949</v>
      </c>
      <c r="B1943" t="str">
        <f>T("   Tissus de coton, en fils de diverses couleurs, contenant &gt;= 85% en poids de coton, d'un poids &gt; 200 g/m² (à l'excl. des tissus dits 'denim' ainsi que des tissus à armure toile ou à armure sergé [y.c. le croisé] d'un rapport d'armure &lt;= 4)")</f>
        <v xml:space="preserve">   Tissus de coton, en fils de diverses couleurs, contenant &gt;= 85% en poids de coton, d'un poids &gt; 200 g/m² (à l'excl. des tissus dits 'denim' ainsi que des tissus à armure toile ou à armure sergé [y.c. le croisé] d'un rapport d'armure &lt;= 4)</v>
      </c>
      <c r="C1943">
        <v>21846092</v>
      </c>
      <c r="D1943">
        <v>36007</v>
      </c>
    </row>
    <row r="1944" spans="1:4" x14ac:dyDescent="0.25">
      <c r="A1944" t="str">
        <f>T("   520951")</f>
        <v xml:space="preserve">   520951</v>
      </c>
      <c r="B1944" t="str">
        <f>T("   Tissus de coton, imprimés, à armure toile, contenant &gt;= 85% en poids de coton, d'un poids &gt; 200 g/m²")</f>
        <v xml:space="preserve">   Tissus de coton, imprimés, à armure toile, contenant &gt;= 85% en poids de coton, d'un poids &gt; 200 g/m²</v>
      </c>
      <c r="C1944">
        <v>180964592</v>
      </c>
      <c r="D1944">
        <v>201060</v>
      </c>
    </row>
    <row r="1945" spans="1:4" x14ac:dyDescent="0.25">
      <c r="A1945" t="str">
        <f>T("   520959")</f>
        <v xml:space="preserve">   520959</v>
      </c>
      <c r="B1945"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1945">
        <v>34860950</v>
      </c>
      <c r="D1945">
        <v>37000</v>
      </c>
    </row>
    <row r="1946" spans="1:4" x14ac:dyDescent="0.25">
      <c r="A1946" t="str">
        <f>T("   521059")</f>
        <v xml:space="preserve">   521059</v>
      </c>
      <c r="B1946" t="s">
        <v>239</v>
      </c>
      <c r="C1946">
        <v>10922992</v>
      </c>
      <c r="D1946">
        <v>17480</v>
      </c>
    </row>
    <row r="1947" spans="1:4" x14ac:dyDescent="0.25">
      <c r="A1947" t="str">
        <f>T("   521119")</f>
        <v xml:space="preserve">   521119</v>
      </c>
      <c r="B1947" t="s">
        <v>240</v>
      </c>
      <c r="C1947">
        <v>34000000</v>
      </c>
      <c r="D1947">
        <v>38575</v>
      </c>
    </row>
    <row r="1948" spans="1:4" x14ac:dyDescent="0.25">
      <c r="A1948" t="str">
        <f>T("   521120")</f>
        <v xml:space="preserve">   521120</v>
      </c>
      <c r="B1948" t="str">
        <f>T("   TISSUS DE COTON, BLANCHIS, CONTENANT EN PRÉDOMINANCE, MAIS &lt; 85% EN POIDS DE COTON, MÉLANGÉS PRINCIPALEMENT OU UNIQUEMENT AVEC DES FIBRES SYNTHÉTIQUES OU ARTIFICIELLES, D'UN POIDS &gt; 200 G/M²")</f>
        <v xml:space="preserve">   TISSUS DE COTON, BLANCHIS, CONTENANT EN PRÉDOMINANCE, MAIS &lt; 85% EN POIDS DE COTON, MÉLANGÉS PRINCIPALEMENT OU UNIQUEMENT AVEC DES FIBRES SYNTHÉTIQUES OU ARTIFICIELLES, D'UN POIDS &gt; 200 G/M²</v>
      </c>
      <c r="C1948">
        <v>17000000</v>
      </c>
      <c r="D1948">
        <v>19825</v>
      </c>
    </row>
    <row r="1949" spans="1:4" x14ac:dyDescent="0.25">
      <c r="A1949" t="str">
        <f>T("   521159")</f>
        <v xml:space="preserve">   521159</v>
      </c>
      <c r="B1949" t="s">
        <v>242</v>
      </c>
      <c r="C1949">
        <v>790000</v>
      </c>
      <c r="D1949">
        <v>3800</v>
      </c>
    </row>
    <row r="1950" spans="1:4" x14ac:dyDescent="0.25">
      <c r="A1950" t="str">
        <f>T("   521215")</f>
        <v xml:space="preserve">   521215</v>
      </c>
      <c r="B1950"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1950">
        <v>61922992</v>
      </c>
      <c r="D1950">
        <v>71360</v>
      </c>
    </row>
    <row r="1951" spans="1:4" x14ac:dyDescent="0.25">
      <c r="A1951" t="str">
        <f>T("   521225")</f>
        <v xml:space="preserve">   521225</v>
      </c>
      <c r="B1951"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951">
        <v>132199531</v>
      </c>
      <c r="D1951">
        <v>210782</v>
      </c>
    </row>
    <row r="1952" spans="1:4" x14ac:dyDescent="0.25">
      <c r="A1952" t="str">
        <f>T("   540110")</f>
        <v xml:space="preserve">   540110</v>
      </c>
      <c r="B1952" t="str">
        <f>T("   Fils à coudre de filaments synthétiques, même conditionnés pour la vente au détail")</f>
        <v xml:space="preserve">   Fils à coudre de filaments synthétiques, même conditionnés pour la vente au détail</v>
      </c>
      <c r="C1952">
        <v>46518825</v>
      </c>
      <c r="D1952">
        <v>84078</v>
      </c>
    </row>
    <row r="1953" spans="1:4" x14ac:dyDescent="0.25">
      <c r="A1953" t="str">
        <f>T("   540120")</f>
        <v xml:space="preserve">   540120</v>
      </c>
      <c r="B1953" t="str">
        <f>T("   Fils à coudre de filaments artificiels, même conditionnés pour la vente au détail")</f>
        <v xml:space="preserve">   Fils à coudre de filaments artificiels, même conditionnés pour la vente au détail</v>
      </c>
      <c r="C1953">
        <v>77591071</v>
      </c>
      <c r="D1953">
        <v>166382</v>
      </c>
    </row>
    <row r="1954" spans="1:4" x14ac:dyDescent="0.25">
      <c r="A1954" t="str">
        <f>T("   540231")</f>
        <v xml:space="preserve">   540231</v>
      </c>
      <c r="B1954" t="str">
        <f>T("   Fils texturés de filaments de nylon ou d'autres polyamides, titrant en fils simples &lt;= 50 tex, non conditionnés pour la vente au détail (à l'excl. des fils à coudre)")</f>
        <v xml:space="preserve">   Fils texturés de filaments de nylon ou d'autres polyamides, titrant en fils simples &lt;= 50 tex, non conditionnés pour la vente au détail (à l'excl. des fils à coudre)</v>
      </c>
      <c r="C1954">
        <v>856028</v>
      </c>
      <c r="D1954">
        <v>283</v>
      </c>
    </row>
    <row r="1955" spans="1:4" x14ac:dyDescent="0.25">
      <c r="A1955" t="str">
        <f>T("   540794")</f>
        <v xml:space="preserve">   540794</v>
      </c>
      <c r="B1955" t="s">
        <v>245</v>
      </c>
      <c r="C1955">
        <v>102001428</v>
      </c>
      <c r="D1955">
        <v>107980</v>
      </c>
    </row>
    <row r="1956" spans="1:4" x14ac:dyDescent="0.25">
      <c r="A1956" t="str">
        <f>T("   540834")</f>
        <v xml:space="preserve">   540834</v>
      </c>
      <c r="B1956" t="s">
        <v>247</v>
      </c>
      <c r="C1956">
        <v>17000000</v>
      </c>
      <c r="D1956">
        <v>18450</v>
      </c>
    </row>
    <row r="1957" spans="1:4" x14ac:dyDescent="0.25">
      <c r="A1957" t="str">
        <f>T("   550320")</f>
        <v xml:space="preserve">   550320</v>
      </c>
      <c r="B1957" t="str">
        <f>T("   Fibres discontinues de polyesters, non cardées ni peignées ni autrement transformées pour la filature")</f>
        <v xml:space="preserve">   Fibres discontinues de polyesters, non cardées ni peignées ni autrement transformées pour la filature</v>
      </c>
      <c r="C1957">
        <v>178362750</v>
      </c>
      <c r="D1957">
        <v>102912</v>
      </c>
    </row>
    <row r="1958" spans="1:4" x14ac:dyDescent="0.25">
      <c r="A1958" t="str">
        <f>T("   550810")</f>
        <v xml:space="preserve">   550810</v>
      </c>
      <c r="B1958" t="str">
        <f>T("   Fils à coudre de fibres synthétiques discontinues, même conditionnés pour la vente au détail")</f>
        <v xml:space="preserve">   Fils à coudre de fibres synthétiques discontinues, même conditionnés pour la vente au détail</v>
      </c>
      <c r="C1958">
        <v>27404798</v>
      </c>
      <c r="D1958">
        <v>50680</v>
      </c>
    </row>
    <row r="1959" spans="1:4" x14ac:dyDescent="0.25">
      <c r="A1959" t="str">
        <f>T("   550820")</f>
        <v xml:space="preserve">   550820</v>
      </c>
      <c r="B1959" t="str">
        <f>T("   Fils à coudre de fibres artificielles discontinues, même conditionnés pour la vente au détail")</f>
        <v xml:space="preserve">   Fils à coudre de fibres artificielles discontinues, même conditionnés pour la vente au détail</v>
      </c>
      <c r="C1959">
        <v>27432295</v>
      </c>
      <c r="D1959">
        <v>66739</v>
      </c>
    </row>
    <row r="1960" spans="1:4" x14ac:dyDescent="0.25">
      <c r="A1960" t="str">
        <f>T("   551120")</f>
        <v xml:space="preserve">   551120</v>
      </c>
      <c r="B1960" t="str">
        <f>T("   Fils de fibres synthétiques discontinues, contenant en prédominance, mais &lt; 85% en poids de ces fibres, conditionnés pour la vente au détail (à l'excl. des fils à coudre)")</f>
        <v xml:space="preserve">   Fils de fibres synthétiques discontinues, contenant en prédominance, mais &lt; 85% en poids de ces fibres, conditionnés pour la vente au détail (à l'excl. des fils à coudre)</v>
      </c>
      <c r="C1960">
        <v>37583400</v>
      </c>
      <c r="D1960">
        <v>68115</v>
      </c>
    </row>
    <row r="1961" spans="1:4" x14ac:dyDescent="0.25">
      <c r="A1961" t="str">
        <f>T("   551219")</f>
        <v xml:space="preserve">   551219</v>
      </c>
      <c r="B1961"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961">
        <v>500000</v>
      </c>
      <c r="D1961">
        <v>2300</v>
      </c>
    </row>
    <row r="1962" spans="1:4" x14ac:dyDescent="0.25">
      <c r="A1962" t="str">
        <f>T("   551299")</f>
        <v xml:space="preserve">   551299</v>
      </c>
      <c r="B1962"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1962">
        <v>216001030</v>
      </c>
      <c r="D1962">
        <v>226240</v>
      </c>
    </row>
    <row r="1963" spans="1:4" x14ac:dyDescent="0.25">
      <c r="A1963" t="str">
        <f>T("   551313")</f>
        <v xml:space="preserve">   551313</v>
      </c>
      <c r="B1963" t="s">
        <v>249</v>
      </c>
      <c r="C1963">
        <v>161626789</v>
      </c>
      <c r="D1963">
        <v>471250</v>
      </c>
    </row>
    <row r="1964" spans="1:4" x14ac:dyDescent="0.25">
      <c r="A1964" t="str">
        <f>T("   551319")</f>
        <v xml:space="preserve">   551319</v>
      </c>
      <c r="B1964" t="s">
        <v>250</v>
      </c>
      <c r="C1964">
        <v>651533244</v>
      </c>
      <c r="D1964">
        <v>635661</v>
      </c>
    </row>
    <row r="1965" spans="1:4" x14ac:dyDescent="0.25">
      <c r="A1965" t="str">
        <f>T("   551321")</f>
        <v xml:space="preserve">   551321</v>
      </c>
      <c r="B1965"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1965">
        <v>17000000</v>
      </c>
      <c r="D1965">
        <v>17952</v>
      </c>
    </row>
    <row r="1966" spans="1:4" x14ac:dyDescent="0.25">
      <c r="A1966" t="str">
        <f>T("   551329")</f>
        <v xml:space="preserve">   551329</v>
      </c>
      <c r="B1966"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1966">
        <v>95924526</v>
      </c>
      <c r="D1966">
        <v>108709</v>
      </c>
    </row>
    <row r="1967" spans="1:4" x14ac:dyDescent="0.25">
      <c r="A1967" t="str">
        <f>T("   551349")</f>
        <v xml:space="preserve">   551349</v>
      </c>
      <c r="B1967"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1967">
        <v>141020203</v>
      </c>
      <c r="D1967">
        <v>213377</v>
      </c>
    </row>
    <row r="1968" spans="1:4" x14ac:dyDescent="0.25">
      <c r="A1968" t="str">
        <f>T("   551419")</f>
        <v xml:space="preserve">   551419</v>
      </c>
      <c r="B1968" t="s">
        <v>251</v>
      </c>
      <c r="C1968">
        <v>17000000</v>
      </c>
      <c r="D1968">
        <v>13143</v>
      </c>
    </row>
    <row r="1969" spans="1:4" x14ac:dyDescent="0.25">
      <c r="A1969" t="str">
        <f>T("   551423")</f>
        <v xml:space="preserve">   551423</v>
      </c>
      <c r="B1969" t="s">
        <v>252</v>
      </c>
      <c r="C1969">
        <v>85000000</v>
      </c>
      <c r="D1969">
        <v>88044</v>
      </c>
    </row>
    <row r="1970" spans="1:4" x14ac:dyDescent="0.25">
      <c r="A1970" t="str">
        <f>T("   551449")</f>
        <v xml:space="preserve">   551449</v>
      </c>
      <c r="B1970"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1970">
        <v>98085747</v>
      </c>
      <c r="D1970">
        <v>137371</v>
      </c>
    </row>
    <row r="1971" spans="1:4" x14ac:dyDescent="0.25">
      <c r="A1971" t="str">
        <f>T("   551511")</f>
        <v xml:space="preserve">   551511</v>
      </c>
      <c r="B1971" t="str">
        <f>T("   Tissus de fibres discontinues de polyester, contenant en prédominance, mais &lt; 85% en poids de ces fibres, mélangés principalement ou uniquement avec des fibres discontinues de viscose")</f>
        <v xml:space="preserve">   Tissus de fibres discontinues de polyester, contenant en prédominance, mais &lt; 85% en poids de ces fibres, mélangés principalement ou uniquement avec des fibres discontinues de viscose</v>
      </c>
      <c r="C1971">
        <v>10922993</v>
      </c>
      <c r="D1971">
        <v>17577</v>
      </c>
    </row>
    <row r="1972" spans="1:4" x14ac:dyDescent="0.25">
      <c r="A1972" t="str">
        <f>T("   551519")</f>
        <v xml:space="preserve">   551519</v>
      </c>
      <c r="B1972" t="s">
        <v>254</v>
      </c>
      <c r="C1972">
        <v>84845986</v>
      </c>
      <c r="D1972">
        <v>190706</v>
      </c>
    </row>
    <row r="1973" spans="1:4" x14ac:dyDescent="0.25">
      <c r="A1973" t="str">
        <f>T("   551529")</f>
        <v xml:space="preserve">   551529</v>
      </c>
      <c r="B1973" t="s">
        <v>255</v>
      </c>
      <c r="C1973">
        <v>9000000</v>
      </c>
      <c r="D1973">
        <v>17100</v>
      </c>
    </row>
    <row r="1974" spans="1:4" x14ac:dyDescent="0.25">
      <c r="A1974" t="str">
        <f>T("   551591")</f>
        <v xml:space="preserve">   551591</v>
      </c>
      <c r="B1974" t="s">
        <v>256</v>
      </c>
      <c r="C1974">
        <v>9916000</v>
      </c>
      <c r="D1974">
        <v>20560</v>
      </c>
    </row>
    <row r="1975" spans="1:4" x14ac:dyDescent="0.25">
      <c r="A1975" t="str">
        <f>T("   551599")</f>
        <v xml:space="preserve">   551599</v>
      </c>
      <c r="B1975" t="s">
        <v>257</v>
      </c>
      <c r="C1975">
        <v>133362370</v>
      </c>
      <c r="D1975">
        <v>327472</v>
      </c>
    </row>
    <row r="1976" spans="1:4" x14ac:dyDescent="0.25">
      <c r="A1976" t="str">
        <f>T("   551614")</f>
        <v xml:space="preserve">   551614</v>
      </c>
      <c r="B1976" t="str">
        <f>T("   Tissus, imprimés, de fibres artificielles discontinues, contenant &gt;= 85% en poids de ces fibres")</f>
        <v xml:space="preserve">   Tissus, imprimés, de fibres artificielles discontinues, contenant &gt;= 85% en poids de ces fibres</v>
      </c>
      <c r="C1976">
        <v>17000237</v>
      </c>
      <c r="D1976">
        <v>18180</v>
      </c>
    </row>
    <row r="1977" spans="1:4" x14ac:dyDescent="0.25">
      <c r="A1977" t="str">
        <f>T("   551622")</f>
        <v xml:space="preserve">   551622</v>
      </c>
      <c r="B1977" t="str">
        <f>T("   Tissus, teints, de fibres artificielles discontinues, contenant en prédominance, mais &lt; 85% en poids de ces fibres, mélangés principalement ou uniquement avec des filaments synthétiques ou artificiels")</f>
        <v xml:space="preserve">   Tissus, teints, de fibres artificielles discontinues, contenant en prédominance, mais &lt; 85% en poids de ces fibres, mélangés principalement ou uniquement avec des filaments synthétiques ou artificiels</v>
      </c>
      <c r="C1977">
        <v>6343750</v>
      </c>
      <c r="D1977">
        <v>18150</v>
      </c>
    </row>
    <row r="1978" spans="1:4" x14ac:dyDescent="0.25">
      <c r="A1978" t="str">
        <f>T("   551694")</f>
        <v xml:space="preserve">   551694</v>
      </c>
      <c r="B1978" t="s">
        <v>258</v>
      </c>
      <c r="C1978">
        <v>438148</v>
      </c>
      <c r="D1978">
        <v>230</v>
      </c>
    </row>
    <row r="1979" spans="1:4" x14ac:dyDescent="0.25">
      <c r="A1979" t="str">
        <f>T("   560110")</f>
        <v xml:space="preserve">   560110</v>
      </c>
      <c r="B1979" t="str">
        <f>T("   Serviettes et tampons hygiéniques, couches pour bébés et articles hygiéniques simil., en ouates")</f>
        <v xml:space="preserve">   Serviettes et tampons hygiéniques, couches pour bébés et articles hygiéniques simil., en ouates</v>
      </c>
      <c r="C1979">
        <v>60691194</v>
      </c>
      <c r="D1979">
        <v>125304</v>
      </c>
    </row>
    <row r="1980" spans="1:4" x14ac:dyDescent="0.25">
      <c r="A1980" t="str">
        <f>T("   560121")</f>
        <v xml:space="preserve">   560121</v>
      </c>
      <c r="B1980" t="s">
        <v>259</v>
      </c>
      <c r="C1980">
        <v>17143218</v>
      </c>
      <c r="D1980">
        <v>63868</v>
      </c>
    </row>
    <row r="1981" spans="1:4" x14ac:dyDescent="0.25">
      <c r="A1981" t="str">
        <f>T("   560129")</f>
        <v xml:space="preserve">   560129</v>
      </c>
      <c r="B1981" t="s">
        <v>261</v>
      </c>
      <c r="C1981">
        <v>693319</v>
      </c>
      <c r="D1981">
        <v>1020</v>
      </c>
    </row>
    <row r="1982" spans="1:4" x14ac:dyDescent="0.25">
      <c r="A1982" t="str">
        <f>T("   560290")</f>
        <v xml:space="preserve">   560290</v>
      </c>
      <c r="B1982" t="str">
        <f>T("   Feutres, imprégnés, enduits, recouverts ou stratifiés (à l'excl. des feutres aiguilletés et des produits cousus-tricotés)")</f>
        <v xml:space="preserve">   Feutres, imprégnés, enduits, recouverts ou stratifiés (à l'excl. des feutres aiguilletés et des produits cousus-tricotés)</v>
      </c>
      <c r="C1982">
        <v>5455800</v>
      </c>
      <c r="D1982">
        <v>16900</v>
      </c>
    </row>
    <row r="1983" spans="1:4" x14ac:dyDescent="0.25">
      <c r="A1983" t="str">
        <f>T("   560490")</f>
        <v xml:space="preserve">   560490</v>
      </c>
      <c r="B1983"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1983">
        <v>58749315</v>
      </c>
      <c r="D1983">
        <v>126397</v>
      </c>
    </row>
    <row r="1984" spans="1:4" x14ac:dyDescent="0.25">
      <c r="A1984" t="str">
        <f>T("   560729")</f>
        <v xml:space="preserve">   560729</v>
      </c>
      <c r="B1984"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1984">
        <v>265895</v>
      </c>
      <c r="D1984">
        <v>150</v>
      </c>
    </row>
    <row r="1985" spans="1:4" x14ac:dyDescent="0.25">
      <c r="A1985" t="str">
        <f>T("   560811")</f>
        <v xml:space="preserve">   560811</v>
      </c>
      <c r="B1985"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1985">
        <v>2300000</v>
      </c>
      <c r="D1985">
        <v>9440</v>
      </c>
    </row>
    <row r="1986" spans="1:4" x14ac:dyDescent="0.25">
      <c r="A1986" t="str">
        <f>T("   560819")</f>
        <v xml:space="preserve">   560819</v>
      </c>
      <c r="B1986" t="s">
        <v>262</v>
      </c>
      <c r="C1986">
        <v>17700961</v>
      </c>
      <c r="D1986">
        <v>153620</v>
      </c>
    </row>
    <row r="1987" spans="1:4" x14ac:dyDescent="0.25">
      <c r="A1987" t="str">
        <f>T("   560890")</f>
        <v xml:space="preserve">   560890</v>
      </c>
      <c r="B1987" t="s">
        <v>263</v>
      </c>
      <c r="C1987">
        <v>6254000</v>
      </c>
      <c r="D1987">
        <v>59960</v>
      </c>
    </row>
    <row r="1988" spans="1:4" x14ac:dyDescent="0.25">
      <c r="A1988" t="str">
        <f>T("   570190")</f>
        <v xml:space="preserve">   570190</v>
      </c>
      <c r="B1988"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1988">
        <v>5279972</v>
      </c>
      <c r="D1988">
        <v>16174</v>
      </c>
    </row>
    <row r="1989" spans="1:4" x14ac:dyDescent="0.25">
      <c r="A1989" t="str">
        <f>T("   570239")</f>
        <v xml:space="preserve">   570239</v>
      </c>
      <c r="B1989" t="s">
        <v>264</v>
      </c>
      <c r="C1989">
        <v>30000</v>
      </c>
      <c r="D1989">
        <v>150</v>
      </c>
    </row>
    <row r="1990" spans="1:4" x14ac:dyDescent="0.25">
      <c r="A1990" t="str">
        <f>T("   570250")</f>
        <v xml:space="preserve">   570250</v>
      </c>
      <c r="B1990" t="str">
        <f>T("   TAPIS ET AUTRES REVÊTEMENTS DE SOL, EN MATIÈRES TEXTILES, TISSÉS, NON-TOUFFETÉS NI FLOQUÉS, SANS VELOURS, NON-CONFECTIONNÉS (À L'EXCL. DES TAPIS DITS 'KELIM', 'KILIM', 'SCHUMACKS', 'SOUMAK' OU 'KARAMANIE' ET DES TAPIS SIMIL. TISSÉS À LA MAIN)")</f>
        <v xml:space="preserve">   TAPIS ET AUTRES REVÊTEMENTS DE SOL, EN MATIÈRES TEXTILES, TISSÉS, NON-TOUFFETÉS NI FLOQUÉS, SANS VELOURS, NON-CONFECTIONNÉS (À L'EXCL. DES TAPIS DITS 'KELIM', 'KILIM', 'SCHUMACKS', 'SOUMAK' OU 'KARAMANIE' ET DES TAPIS SIMIL. TISSÉS À LA MAIN)</v>
      </c>
      <c r="C1990">
        <v>450264</v>
      </c>
      <c r="D1990">
        <v>1100</v>
      </c>
    </row>
    <row r="1991" spans="1:4" x14ac:dyDescent="0.25">
      <c r="A1991" t="str">
        <f>T("   570292")</f>
        <v xml:space="preserve">   570292</v>
      </c>
      <c r="B1991" t="s">
        <v>266</v>
      </c>
      <c r="C1991">
        <v>1966239</v>
      </c>
      <c r="D1991">
        <v>3450</v>
      </c>
    </row>
    <row r="1992" spans="1:4" x14ac:dyDescent="0.25">
      <c r="A1992" t="str">
        <f>T("   570299")</f>
        <v xml:space="preserve">   570299</v>
      </c>
      <c r="B1992" t="s">
        <v>267</v>
      </c>
      <c r="C1992">
        <v>22405</v>
      </c>
      <c r="D1992">
        <v>350</v>
      </c>
    </row>
    <row r="1993" spans="1:4" x14ac:dyDescent="0.25">
      <c r="A1993" t="str">
        <f>T("   570330")</f>
        <v xml:space="preserve">   570330</v>
      </c>
      <c r="B1993"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1993">
        <v>2589398</v>
      </c>
      <c r="D1993">
        <v>2322</v>
      </c>
    </row>
    <row r="1994" spans="1:4" x14ac:dyDescent="0.25">
      <c r="A1994" t="str">
        <f>T("   570390")</f>
        <v xml:space="preserve">   570390</v>
      </c>
      <c r="B199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1994">
        <v>4657319</v>
      </c>
      <c r="D1994">
        <v>2188</v>
      </c>
    </row>
    <row r="1995" spans="1:4" x14ac:dyDescent="0.25">
      <c r="A1995" t="str">
        <f>T("   570500")</f>
        <v xml:space="preserve">   570500</v>
      </c>
      <c r="B199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995">
        <v>18900268</v>
      </c>
      <c r="D1995">
        <v>39857</v>
      </c>
    </row>
    <row r="1996" spans="1:4" x14ac:dyDescent="0.25">
      <c r="A1996" t="str">
        <f>T("   580219")</f>
        <v xml:space="preserve">   580219</v>
      </c>
      <c r="B1996"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1996">
        <v>83731300</v>
      </c>
      <c r="D1996">
        <v>116810</v>
      </c>
    </row>
    <row r="1997" spans="1:4" x14ac:dyDescent="0.25">
      <c r="A1997" t="str">
        <f>T("   580220")</f>
        <v xml:space="preserve">   580220</v>
      </c>
      <c r="B1997" t="str">
        <f>T("   Tissus bouclés du genre éponge (à l'excl. des tissus en coton, des articles de rubanerie du n° 5806 ainsi que des tapis et autres revêtements de sol du n° 5703)")</f>
        <v xml:space="preserve">   Tissus bouclés du genre éponge (à l'excl. des tissus en coton, des articles de rubanerie du n° 5806 ainsi que des tapis et autres revêtements de sol du n° 5703)</v>
      </c>
      <c r="C1997">
        <v>337996</v>
      </c>
      <c r="D1997">
        <v>190</v>
      </c>
    </row>
    <row r="1998" spans="1:4" x14ac:dyDescent="0.25">
      <c r="A1998" t="str">
        <f>T("   580631")</f>
        <v xml:space="preserve">   580631</v>
      </c>
      <c r="B1998" t="str">
        <f>T("   Rubanerie, tissée, de coton, n.d.a.")</f>
        <v xml:space="preserve">   Rubanerie, tissée, de coton, n.d.a.</v>
      </c>
      <c r="C1998">
        <v>26388</v>
      </c>
      <c r="D1998">
        <v>8</v>
      </c>
    </row>
    <row r="1999" spans="1:4" x14ac:dyDescent="0.25">
      <c r="A1999" t="str">
        <f>T("   580639")</f>
        <v xml:space="preserve">   580639</v>
      </c>
      <c r="B1999" t="str">
        <f>T("   Rubanerie, tissée, en matières textiles, n.d.a. (à l'excl. des articles de coton ou de fibres synthétiques ou artificielles)")</f>
        <v xml:space="preserve">   Rubanerie, tissée, en matières textiles, n.d.a. (à l'excl. des articles de coton ou de fibres synthétiques ou artificielles)</v>
      </c>
      <c r="C1999">
        <v>5455727</v>
      </c>
      <c r="D1999">
        <v>8675</v>
      </c>
    </row>
    <row r="2000" spans="1:4" x14ac:dyDescent="0.25">
      <c r="A2000" t="str">
        <f>T("   581099")</f>
        <v xml:space="preserve">   581099</v>
      </c>
      <c r="B2000"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2000">
        <v>92750000</v>
      </c>
      <c r="D2000">
        <v>168590</v>
      </c>
    </row>
    <row r="2001" spans="1:4" x14ac:dyDescent="0.25">
      <c r="A2001" t="str">
        <f>T("   590110")</f>
        <v xml:space="preserve">   590110</v>
      </c>
      <c r="B2001"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2001">
        <v>12045645</v>
      </c>
      <c r="D2001">
        <v>25304</v>
      </c>
    </row>
    <row r="2002" spans="1:4" x14ac:dyDescent="0.25">
      <c r="A2002" t="str">
        <f>T("   590190")</f>
        <v xml:space="preserve">   590190</v>
      </c>
      <c r="B2002"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2002">
        <v>29750000</v>
      </c>
      <c r="D2002">
        <v>56340</v>
      </c>
    </row>
    <row r="2003" spans="1:4" x14ac:dyDescent="0.25">
      <c r="A2003" t="str">
        <f>T("   590390")</f>
        <v xml:space="preserve">   590390</v>
      </c>
      <c r="B2003" t="s">
        <v>270</v>
      </c>
      <c r="C2003">
        <v>22113525</v>
      </c>
      <c r="D2003">
        <v>42710</v>
      </c>
    </row>
    <row r="2004" spans="1:4" x14ac:dyDescent="0.25">
      <c r="A2004" t="str">
        <f>T("   590610")</f>
        <v xml:space="preserve">   590610</v>
      </c>
      <c r="B2004" t="str">
        <f>T("   Rubans adhésifs en tissus caoutchoutés, d'une largeur &lt;= 20 cm (à l'excl. des rubans adhésifs imprégnés ou recouverts de substances pharmaceutiques ou conditionnés pour la vente au détail à des fins médicales, chirurgicales, dentaires ou vétérinaires)")</f>
        <v xml:space="preserve">   Rubans adhésifs en tissus caoutchoutés, d'une largeur &lt;= 20 cm (à l'excl. des rubans adhésifs imprégnés ou recouverts de substances pharmaceutiques ou conditionnés pour la vente au détail à des fins médicales, chirurgicales, dentaires ou vétérinaires)</v>
      </c>
      <c r="C2004">
        <v>54768</v>
      </c>
      <c r="D2004">
        <v>250</v>
      </c>
    </row>
    <row r="2005" spans="1:4" x14ac:dyDescent="0.25">
      <c r="A2005" t="str">
        <f>T("   590699")</f>
        <v xml:space="preserve">   590699</v>
      </c>
      <c r="B2005" t="s">
        <v>271</v>
      </c>
      <c r="C2005">
        <v>1529219</v>
      </c>
      <c r="D2005">
        <v>6530</v>
      </c>
    </row>
    <row r="2006" spans="1:4" x14ac:dyDescent="0.25">
      <c r="A2006" t="str">
        <f>T("   590700")</f>
        <v xml:space="preserve">   590700</v>
      </c>
      <c r="B2006"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2006">
        <v>1024682</v>
      </c>
      <c r="D2006">
        <v>1944</v>
      </c>
    </row>
    <row r="2007" spans="1:4" x14ac:dyDescent="0.25">
      <c r="A2007" t="str">
        <f>T("   590800")</f>
        <v xml:space="preserve">   590800</v>
      </c>
      <c r="B2007" t="s">
        <v>272</v>
      </c>
      <c r="C2007">
        <v>16807600</v>
      </c>
      <c r="D2007">
        <v>106300</v>
      </c>
    </row>
    <row r="2008" spans="1:4" x14ac:dyDescent="0.25">
      <c r="A2008" t="str">
        <f>T("   591110")</f>
        <v xml:space="preserve">   591110</v>
      </c>
      <c r="B2008" t="s">
        <v>273</v>
      </c>
      <c r="C2008">
        <v>1497326</v>
      </c>
      <c r="D2008">
        <v>2495</v>
      </c>
    </row>
    <row r="2009" spans="1:4" x14ac:dyDescent="0.25">
      <c r="A2009" t="str">
        <f>T("   600523")</f>
        <v xml:space="preserve">   600523</v>
      </c>
      <c r="B2009" t="s">
        <v>276</v>
      </c>
      <c r="C2009">
        <v>214096</v>
      </c>
      <c r="D2009">
        <v>319.2</v>
      </c>
    </row>
    <row r="2010" spans="1:4" x14ac:dyDescent="0.25">
      <c r="A2010" t="str">
        <f>T("   610339")</f>
        <v xml:space="preserve">   610339</v>
      </c>
      <c r="B2010" t="str">
        <f>T("   Vestons en bonneterie, de matières textiles, pour hommes ou garçonnets (sauf de laine, poils fins, coton, fibres synthétiques et sauf anoraks et articles simil.)")</f>
        <v xml:space="preserve">   Vestons en bonneterie, de matières textiles, pour hommes ou garçonnets (sauf de laine, poils fins, coton, fibres synthétiques et sauf anoraks et articles simil.)</v>
      </c>
      <c r="C2010">
        <v>3000000</v>
      </c>
      <c r="D2010">
        <v>12000</v>
      </c>
    </row>
    <row r="2011" spans="1:4" x14ac:dyDescent="0.25">
      <c r="A2011" t="str">
        <f>T("   610342")</f>
        <v xml:space="preserve">   610342</v>
      </c>
      <c r="B2011"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2011">
        <v>12977512</v>
      </c>
      <c r="D2011">
        <v>42268</v>
      </c>
    </row>
    <row r="2012" spans="1:4" x14ac:dyDescent="0.25">
      <c r="A2012" t="str">
        <f>T("   610349")</f>
        <v xml:space="preserve">   610349</v>
      </c>
      <c r="B2012"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2012">
        <v>144054701</v>
      </c>
      <c r="D2012">
        <v>261940</v>
      </c>
    </row>
    <row r="2013" spans="1:4" x14ac:dyDescent="0.25">
      <c r="A2013" t="str">
        <f>T("   610449")</f>
        <v xml:space="preserve">   610449</v>
      </c>
      <c r="B2013" t="str">
        <f>T("   Robes en bonneterie, de matières textiles, pour femmes ou fillettes (sauf de laine, poils fins, coton, fibres synthétiques ou artificielles et sauf combinaisons et fonds de robes)")</f>
        <v xml:space="preserve">   Robes en bonneterie, de matières textiles, pour femmes ou fillettes (sauf de laine, poils fins, coton, fibres synthétiques ou artificielles et sauf combinaisons et fonds de robes)</v>
      </c>
      <c r="C2013">
        <v>41726</v>
      </c>
      <c r="D2013">
        <v>2</v>
      </c>
    </row>
    <row r="2014" spans="1:4" x14ac:dyDescent="0.25">
      <c r="A2014" t="str">
        <f>T("   610510")</f>
        <v xml:space="preserve">   610510</v>
      </c>
      <c r="B2014"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2014">
        <v>51121700</v>
      </c>
      <c r="D2014">
        <v>125109</v>
      </c>
    </row>
    <row r="2015" spans="1:4" x14ac:dyDescent="0.25">
      <c r="A2015" t="str">
        <f>T("   610590")</f>
        <v xml:space="preserve">   610590</v>
      </c>
      <c r="B2015"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2015">
        <v>32941727</v>
      </c>
      <c r="D2015">
        <v>79820</v>
      </c>
    </row>
    <row r="2016" spans="1:4" x14ac:dyDescent="0.25">
      <c r="A2016" t="str">
        <f>T("   610719")</f>
        <v xml:space="preserve">   610719</v>
      </c>
      <c r="B2016" t="str">
        <f>T("   SLIPS ET CALETHONS, EN BONNETERIE, DE MATIÈRES TEXTILES, POUR HOMMES OU GARÇONNETS (SAUF DE COTON OU FIBRES SYNTHÉTIQUES OU ARTIFICIELLES)")</f>
        <v xml:space="preserve">   SLIPS ET CALETHONS, EN BONNETERIE, DE MATIÈRES TEXTILES, POUR HOMMES OU GARÇONNETS (SAUF DE COTON OU FIBRES SYNTHÉTIQUES OU ARTIFICIELLES)</v>
      </c>
      <c r="C2016">
        <v>13096898</v>
      </c>
      <c r="D2016">
        <v>34035</v>
      </c>
    </row>
    <row r="2017" spans="1:4" x14ac:dyDescent="0.25">
      <c r="A2017" t="str">
        <f>T("   610799")</f>
        <v xml:space="preserve">   610799</v>
      </c>
      <c r="B2017"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2017">
        <v>1310000</v>
      </c>
      <c r="D2017">
        <v>1900</v>
      </c>
    </row>
    <row r="2018" spans="1:4" x14ac:dyDescent="0.25">
      <c r="A2018" t="str">
        <f>T("   610829")</f>
        <v xml:space="preserve">   610829</v>
      </c>
      <c r="B2018"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2018">
        <v>54884</v>
      </c>
      <c r="D2018">
        <v>50</v>
      </c>
    </row>
    <row r="2019" spans="1:4" x14ac:dyDescent="0.25">
      <c r="A2019" t="str">
        <f>T("   610910")</f>
        <v xml:space="preserve">   610910</v>
      </c>
      <c r="B2019" t="str">
        <f>T("   T-shirts et maillots de corps, en bonneterie, de coton,")</f>
        <v xml:space="preserve">   T-shirts et maillots de corps, en bonneterie, de coton,</v>
      </c>
      <c r="C2019">
        <v>157225476</v>
      </c>
      <c r="D2019">
        <v>328374.5</v>
      </c>
    </row>
    <row r="2020" spans="1:4" x14ac:dyDescent="0.25">
      <c r="A2020" t="str">
        <f>T("   610990")</f>
        <v xml:space="preserve">   610990</v>
      </c>
      <c r="B2020" t="str">
        <f>T("   T-shirts et maillots de corps, en bonneterie, de matières textiles (sauf de coton)")</f>
        <v xml:space="preserve">   T-shirts et maillots de corps, en bonneterie, de matières textiles (sauf de coton)</v>
      </c>
      <c r="C2020">
        <v>202899354</v>
      </c>
      <c r="D2020">
        <v>504741</v>
      </c>
    </row>
    <row r="2021" spans="1:4" x14ac:dyDescent="0.25">
      <c r="A2021" t="str">
        <f>T("   611120")</f>
        <v xml:space="preserve">   611120</v>
      </c>
      <c r="B2021" t="str">
        <f>T("   Vêtements et accessoires du vêtement, en bonneterie, de coton, pour bébés (sauf gants et bonnets)")</f>
        <v xml:space="preserve">   Vêtements et accessoires du vêtement, en bonneterie, de coton, pour bébés (sauf gants et bonnets)</v>
      </c>
      <c r="C2021">
        <v>5008000</v>
      </c>
      <c r="D2021">
        <v>4820</v>
      </c>
    </row>
    <row r="2022" spans="1:4" x14ac:dyDescent="0.25">
      <c r="A2022" t="str">
        <f>T("   611190")</f>
        <v xml:space="preserve">   611190</v>
      </c>
      <c r="B2022"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2022">
        <v>1000000</v>
      </c>
      <c r="D2022">
        <v>850</v>
      </c>
    </row>
    <row r="2023" spans="1:4" x14ac:dyDescent="0.25">
      <c r="A2023" t="str">
        <f>T("   611300")</f>
        <v xml:space="preserve">   611300</v>
      </c>
      <c r="B2023"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2023">
        <v>255601174</v>
      </c>
      <c r="D2023">
        <v>468000</v>
      </c>
    </row>
    <row r="2024" spans="1:4" x14ac:dyDescent="0.25">
      <c r="A2024" t="str">
        <f>T("   611490")</f>
        <v xml:space="preserve">   611490</v>
      </c>
      <c r="B202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2024">
        <v>254757929</v>
      </c>
      <c r="D2024">
        <v>473380</v>
      </c>
    </row>
    <row r="2025" spans="1:4" x14ac:dyDescent="0.25">
      <c r="A2025" t="str">
        <f>T("   611519")</f>
        <v xml:space="preserve">   611519</v>
      </c>
      <c r="B2025" t="str">
        <f>T("   COLLANTS 'BAS-CULOTTES', EN BONNETERIE, DE MATIÈRES TEXTILES (SAUF DE FIBRES SYNTHÉTIQUES ET SAUF ARTICLES CHAUSSANTS POUR BÉBÉS)")</f>
        <v xml:space="preserve">   COLLANTS 'BAS-CULOTTES', EN BONNETERIE, DE MATIÈRES TEXTILES (SAUF DE FIBRES SYNTHÉTIQUES ET SAUF ARTICLES CHAUSSANTS POUR BÉBÉS)</v>
      </c>
      <c r="C2025">
        <v>6115598</v>
      </c>
      <c r="D2025">
        <v>16115</v>
      </c>
    </row>
    <row r="2026" spans="1:4" x14ac:dyDescent="0.25">
      <c r="A2026" t="str">
        <f>T("   611610")</f>
        <v xml:space="preserve">   611610</v>
      </c>
      <c r="B2026"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2026">
        <v>1830000</v>
      </c>
      <c r="D2026">
        <v>18200</v>
      </c>
    </row>
    <row r="2027" spans="1:4" x14ac:dyDescent="0.25">
      <c r="A2027" t="str">
        <f>T("   611699")</f>
        <v xml:space="preserve">   611699</v>
      </c>
      <c r="B2027" t="str">
        <f>T("   Gants, mitaines et moufles, en bonneterie, de matières textiles (autres que laine, poils fins, coton, fibres synthétiques ou imprégnés, enduits ou recouverts de matières plastiques ou de caoutchouc et sauf pour bébés)")</f>
        <v xml:space="preserve">   Gants, mitaines et moufles, en bonneterie, de matières textiles (autres que laine, poils fins, coton, fibres synthétiques ou imprégnés, enduits ou recouverts de matières plastiques ou de caoutchouc et sauf pour bébés)</v>
      </c>
      <c r="C2027">
        <v>402300</v>
      </c>
      <c r="D2027">
        <v>195</v>
      </c>
    </row>
    <row r="2028" spans="1:4" x14ac:dyDescent="0.25">
      <c r="A2028" t="str">
        <f>T("   611780")</f>
        <v xml:space="preserve">   611780</v>
      </c>
      <c r="B2028" t="str">
        <f>T("   CRAVATES, NOEUDS PAPILLONS, FOULARDS CRAVATES ET AUTRES ACCESSOIRES CONFECTIONNÉS DU VÊTEMENT, EN BONNETERIE, N.D.A. (SAUF CHÂLES, ÉCHARPES, FOULARDS, CACHE-NEZ, CACHE-COL, MANTILLES, VOILES, VOILETTES ET ARTICLES SIMIL.)")</f>
        <v xml:space="preserve">   CRAVATES, NOEUDS PAPILLONS, FOULARDS CRAVATES ET AUTRES ACCESSOIRES CONFECTIONNÉS DU VÊTEMENT, EN BONNETERIE, N.D.A. (SAUF CHÂLES, ÉCHARPES, FOULARDS, CACHE-NEZ, CACHE-COL, MANTILLES, VOILES, VOILETTES ET ARTICLES SIMIL.)</v>
      </c>
      <c r="C2028">
        <v>200000</v>
      </c>
      <c r="D2028">
        <v>100</v>
      </c>
    </row>
    <row r="2029" spans="1:4" x14ac:dyDescent="0.25">
      <c r="A2029" t="str">
        <f>T("   620199")</f>
        <v xml:space="preserve">   620199</v>
      </c>
      <c r="B2029" t="s">
        <v>285</v>
      </c>
      <c r="C2029">
        <v>26144927</v>
      </c>
      <c r="D2029">
        <v>3510</v>
      </c>
    </row>
    <row r="2030" spans="1:4" x14ac:dyDescent="0.25">
      <c r="A2030" t="str">
        <f>T("   620299")</f>
        <v xml:space="preserve">   620299</v>
      </c>
      <c r="B2030" t="s">
        <v>287</v>
      </c>
      <c r="C2030">
        <v>1973186</v>
      </c>
      <c r="D2030">
        <v>9600</v>
      </c>
    </row>
    <row r="2031" spans="1:4" x14ac:dyDescent="0.25">
      <c r="A2031" t="str">
        <f>T("   620319")</f>
        <v xml:space="preserve">   620319</v>
      </c>
      <c r="B2031" t="s">
        <v>288</v>
      </c>
      <c r="C2031">
        <v>866395</v>
      </c>
      <c r="D2031">
        <v>1587</v>
      </c>
    </row>
    <row r="2032" spans="1:4" x14ac:dyDescent="0.25">
      <c r="A2032" t="str">
        <f>T("   620322")</f>
        <v xml:space="preserve">   620322</v>
      </c>
      <c r="B2032"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2032">
        <v>4101667</v>
      </c>
      <c r="D2032">
        <v>1150</v>
      </c>
    </row>
    <row r="2033" spans="1:4" x14ac:dyDescent="0.25">
      <c r="A2033" t="str">
        <f>T("   620339")</f>
        <v xml:space="preserve">   620339</v>
      </c>
      <c r="B2033"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2033">
        <v>2184976</v>
      </c>
      <c r="D2033">
        <v>3404</v>
      </c>
    </row>
    <row r="2034" spans="1:4" x14ac:dyDescent="0.25">
      <c r="A2034" t="str">
        <f>T("   620342")</f>
        <v xml:space="preserve">   620342</v>
      </c>
      <c r="B2034"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2034">
        <v>1000416840</v>
      </c>
      <c r="D2034">
        <v>1872115</v>
      </c>
    </row>
    <row r="2035" spans="1:4" x14ac:dyDescent="0.25">
      <c r="A2035" t="str">
        <f>T("   620349")</f>
        <v xml:space="preserve">   620349</v>
      </c>
      <c r="B2035" t="s">
        <v>289</v>
      </c>
      <c r="C2035">
        <v>13117801</v>
      </c>
      <c r="D2035">
        <v>24071</v>
      </c>
    </row>
    <row r="2036" spans="1:4" x14ac:dyDescent="0.25">
      <c r="A2036" t="str">
        <f>T("   620429")</f>
        <v xml:space="preserve">   620429</v>
      </c>
      <c r="B2036"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2036">
        <v>100000</v>
      </c>
      <c r="D2036">
        <v>100</v>
      </c>
    </row>
    <row r="2037" spans="1:4" x14ac:dyDescent="0.25">
      <c r="A2037" t="str">
        <f>T("   620590")</f>
        <v xml:space="preserve">   620590</v>
      </c>
      <c r="B203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037">
        <v>34281035</v>
      </c>
      <c r="D2037">
        <v>110580</v>
      </c>
    </row>
    <row r="2038" spans="1:4" x14ac:dyDescent="0.25">
      <c r="A2038" t="str">
        <f>T("   620690")</f>
        <v xml:space="preserve">   620690</v>
      </c>
      <c r="B2038" t="s">
        <v>291</v>
      </c>
      <c r="C2038">
        <v>155061</v>
      </c>
      <c r="D2038">
        <v>50</v>
      </c>
    </row>
    <row r="2039" spans="1:4" x14ac:dyDescent="0.25">
      <c r="A2039" t="str">
        <f>T("   620719")</f>
        <v xml:space="preserve">   620719</v>
      </c>
      <c r="B2039" t="str">
        <f>T("   SLIPS ET CALETHONS, DE MATIÈRES TEXTILES, POUR HOMMES OU GARÇONNETS (AUTRES QUE DE COTON ET AUTRES QU'EN BONNETERIE)")</f>
        <v xml:space="preserve">   SLIPS ET CALETHONS, DE MATIÈRES TEXTILES, POUR HOMMES OU GARÇONNETS (AUTRES QUE DE COTON ET AUTRES QU'EN BONNETERIE)</v>
      </c>
      <c r="C2039">
        <v>1509581</v>
      </c>
      <c r="D2039">
        <v>1249</v>
      </c>
    </row>
    <row r="2040" spans="1:4" x14ac:dyDescent="0.25">
      <c r="A2040" t="str">
        <f>T("   620930")</f>
        <v xml:space="preserve">   620930</v>
      </c>
      <c r="B2040" t="str">
        <f>T("   Vêtements et accessoires du vêtement, de fibres synthétiques, pour bébés (autres qu'en bonneterie et sauf bonnets)")</f>
        <v xml:space="preserve">   Vêtements et accessoires du vêtement, de fibres synthétiques, pour bébés (autres qu'en bonneterie et sauf bonnets)</v>
      </c>
      <c r="C2040">
        <v>3932278</v>
      </c>
      <c r="D2040">
        <v>4730</v>
      </c>
    </row>
    <row r="2041" spans="1:4" x14ac:dyDescent="0.25">
      <c r="A2041" t="str">
        <f>T("   620990")</f>
        <v xml:space="preserve">   620990</v>
      </c>
      <c r="B2041"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2041">
        <v>5247056</v>
      </c>
      <c r="D2041">
        <v>23250</v>
      </c>
    </row>
    <row r="2042" spans="1:4" x14ac:dyDescent="0.25">
      <c r="A2042" t="str">
        <f>T("   621020")</f>
        <v xml:space="preserve">   621020</v>
      </c>
      <c r="B2042"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2042">
        <v>100000</v>
      </c>
      <c r="D2042">
        <v>129</v>
      </c>
    </row>
    <row r="2043" spans="1:4" x14ac:dyDescent="0.25">
      <c r="A2043" t="str">
        <f>T("   621030")</f>
        <v xml:space="preserve">   621030</v>
      </c>
      <c r="B2043"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2043">
        <v>1924745</v>
      </c>
      <c r="D2043">
        <v>4083</v>
      </c>
    </row>
    <row r="2044" spans="1:4" x14ac:dyDescent="0.25">
      <c r="A2044" t="str">
        <f>T("   621040")</f>
        <v xml:space="preserve">   621040</v>
      </c>
      <c r="B2044" t="s">
        <v>294</v>
      </c>
      <c r="C2044">
        <v>147879043</v>
      </c>
      <c r="D2044">
        <v>240613</v>
      </c>
    </row>
    <row r="2045" spans="1:4" x14ac:dyDescent="0.25">
      <c r="A2045" t="str">
        <f>T("   621050")</f>
        <v xml:space="preserve">   621050</v>
      </c>
      <c r="B2045" t="s">
        <v>295</v>
      </c>
      <c r="C2045">
        <v>32000</v>
      </c>
      <c r="D2045">
        <v>178</v>
      </c>
    </row>
    <row r="2046" spans="1:4" x14ac:dyDescent="0.25">
      <c r="A2046" t="str">
        <f>T("   621111")</f>
        <v xml:space="preserve">   621111</v>
      </c>
      <c r="B2046" t="str">
        <f>T("   Maillots, culottes et slips de bain, pour hommes ou garçonnets (autres qu'en bonneterie)")</f>
        <v xml:space="preserve">   Maillots, culottes et slips de bain, pour hommes ou garçonnets (autres qu'en bonneterie)</v>
      </c>
      <c r="C2046">
        <v>1656299</v>
      </c>
      <c r="D2046">
        <v>8000</v>
      </c>
    </row>
    <row r="2047" spans="1:4" x14ac:dyDescent="0.25">
      <c r="A2047" t="str">
        <f>T("   621112")</f>
        <v xml:space="preserve">   621112</v>
      </c>
      <c r="B2047" t="str">
        <f>T("   Maillots, culottes et slips de bain, pour femmes ou fillettes (autres qu'en bonneterie)")</f>
        <v xml:space="preserve">   Maillots, culottes et slips de bain, pour femmes ou fillettes (autres qu'en bonneterie)</v>
      </c>
      <c r="C2047">
        <v>150000</v>
      </c>
      <c r="D2047">
        <v>170</v>
      </c>
    </row>
    <row r="2048" spans="1:4" x14ac:dyDescent="0.25">
      <c r="A2048" t="str">
        <f>T("   621139")</f>
        <v xml:space="preserve">   621139</v>
      </c>
      <c r="B2048"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2048">
        <v>295182</v>
      </c>
      <c r="D2048">
        <v>948</v>
      </c>
    </row>
    <row r="2049" spans="1:4" x14ac:dyDescent="0.25">
      <c r="A2049" t="str">
        <f>T("   621290")</f>
        <v xml:space="preserve">   621290</v>
      </c>
      <c r="B2049" t="s">
        <v>296</v>
      </c>
      <c r="C2049">
        <v>13108704</v>
      </c>
      <c r="D2049">
        <v>36580</v>
      </c>
    </row>
    <row r="2050" spans="1:4" x14ac:dyDescent="0.25">
      <c r="A2050" t="str">
        <f>T("   621490")</f>
        <v xml:space="preserve">   621490</v>
      </c>
      <c r="B2050"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050">
        <v>262275</v>
      </c>
      <c r="D2050">
        <v>510</v>
      </c>
    </row>
    <row r="2051" spans="1:4" x14ac:dyDescent="0.25">
      <c r="A2051" t="str">
        <f>T("   621710")</f>
        <v xml:space="preserve">   621710</v>
      </c>
      <c r="B2051" t="str">
        <f>T("   Accessoires confectionnés du vêtement en tous types de matières textiles, n.d.a. (autres qu'en bonneterie)")</f>
        <v xml:space="preserve">   Accessoires confectionnés du vêtement en tous types de matières textiles, n.d.a. (autres qu'en bonneterie)</v>
      </c>
      <c r="C2051">
        <v>9809292</v>
      </c>
      <c r="D2051">
        <v>2353</v>
      </c>
    </row>
    <row r="2052" spans="1:4" x14ac:dyDescent="0.25">
      <c r="A2052" t="str">
        <f>T("   630210")</f>
        <v xml:space="preserve">   630210</v>
      </c>
      <c r="B2052" t="str">
        <f>T("   LINGE DE LIT EN BONNETERIE")</f>
        <v xml:space="preserve">   LINGE DE LIT EN BONNETERIE</v>
      </c>
      <c r="C2052">
        <v>6554000</v>
      </c>
      <c r="D2052">
        <v>24900</v>
      </c>
    </row>
    <row r="2053" spans="1:4" x14ac:dyDescent="0.25">
      <c r="A2053" t="str">
        <f>T("   630221")</f>
        <v xml:space="preserve">   630221</v>
      </c>
      <c r="B2053" t="str">
        <f>T("   Linge de lit de coton, imprimé (autre qu'en bonneterie)")</f>
        <v xml:space="preserve">   Linge de lit de coton, imprimé (autre qu'en bonneterie)</v>
      </c>
      <c r="C2053">
        <v>751245</v>
      </c>
      <c r="D2053">
        <v>3094</v>
      </c>
    </row>
    <row r="2054" spans="1:4" x14ac:dyDescent="0.25">
      <c r="A2054" t="str">
        <f>T("   630229")</f>
        <v xml:space="preserve">   630229</v>
      </c>
      <c r="B2054"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2054">
        <v>12766589</v>
      </c>
      <c r="D2054">
        <v>50458</v>
      </c>
    </row>
    <row r="2055" spans="1:4" x14ac:dyDescent="0.25">
      <c r="A2055" t="str">
        <f>T("   630239")</f>
        <v xml:space="preserve">   630239</v>
      </c>
      <c r="B2055"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2055">
        <v>4375475</v>
      </c>
      <c r="D2055">
        <v>12761</v>
      </c>
    </row>
    <row r="2056" spans="1:4" x14ac:dyDescent="0.25">
      <c r="A2056" t="str">
        <f>T("   630251")</f>
        <v xml:space="preserve">   630251</v>
      </c>
      <c r="B2056" t="str">
        <f>T("   Linge de table de coton (autre qu'en bonneterie)")</f>
        <v xml:space="preserve">   Linge de table de coton (autre qu'en bonneterie)</v>
      </c>
      <c r="C2056">
        <v>4481</v>
      </c>
      <c r="D2056">
        <v>8</v>
      </c>
    </row>
    <row r="2057" spans="1:4" x14ac:dyDescent="0.25">
      <c r="A2057" t="str">
        <f>T("   630259")</f>
        <v xml:space="preserve">   630259</v>
      </c>
      <c r="B2057" t="str">
        <f>T("   LINGE DE TABLE DE MATIÈRES TEXTILES (AUTRE QUE DE COTON, FIBRES SYNTHÉTIQUES OU ARTIFICIELLES, AUTRE QU'EN BONNETERIE)")</f>
        <v xml:space="preserve">   LINGE DE TABLE DE MATIÈRES TEXTILES (AUTRE QUE DE COTON, FIBRES SYNTHÉTIQUES OU ARTIFICIELLES, AUTRE QU'EN BONNETERIE)</v>
      </c>
      <c r="C2057">
        <v>2645243</v>
      </c>
      <c r="D2057">
        <v>2548</v>
      </c>
    </row>
    <row r="2058" spans="1:4" x14ac:dyDescent="0.25">
      <c r="A2058" t="str">
        <f>T("   630260")</f>
        <v xml:space="preserve">   630260</v>
      </c>
      <c r="B205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2058">
        <v>21401697</v>
      </c>
      <c r="D2058">
        <v>51801</v>
      </c>
    </row>
    <row r="2059" spans="1:4" x14ac:dyDescent="0.25">
      <c r="A2059" t="str">
        <f>T("   630299")</f>
        <v xml:space="preserve">   630299</v>
      </c>
      <c r="B2059"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2059">
        <v>13930622</v>
      </c>
      <c r="D2059">
        <v>59900</v>
      </c>
    </row>
    <row r="2060" spans="1:4" x14ac:dyDescent="0.25">
      <c r="A2060" t="str">
        <f>T("   630312")</f>
        <v xml:space="preserve">   630312</v>
      </c>
      <c r="B2060" t="str">
        <f>T("   Vitrages, rideaux et stores d'intérieur ainsi que cantonnières et tours de lit, en bonneterie, de fibres synthétiques (autres que stores d'extérieur)")</f>
        <v xml:space="preserve">   Vitrages, rideaux et stores d'intérieur ainsi que cantonnières et tours de lit, en bonneterie, de fibres synthétiques (autres que stores d'extérieur)</v>
      </c>
      <c r="C2060">
        <v>218471</v>
      </c>
      <c r="D2060">
        <v>150</v>
      </c>
    </row>
    <row r="2061" spans="1:4" x14ac:dyDescent="0.25">
      <c r="A2061" t="str">
        <f>T("   630319")</f>
        <v xml:space="preserve">   630319</v>
      </c>
      <c r="B2061"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2061">
        <v>17725495</v>
      </c>
      <c r="D2061">
        <v>87834</v>
      </c>
    </row>
    <row r="2062" spans="1:4" x14ac:dyDescent="0.25">
      <c r="A2062" t="str">
        <f>T("   630391")</f>
        <v xml:space="preserve">   630391</v>
      </c>
      <c r="B2062" t="str">
        <f>T("   Vitrages, rideaux et stores d'intérieur ainsi que cantonnières et tours de lit, de coton (autres qu'en bonneterie et autres que stores d'extérieur)")</f>
        <v xml:space="preserve">   Vitrages, rideaux et stores d'intérieur ainsi que cantonnières et tours de lit, de coton (autres qu'en bonneterie et autres que stores d'extérieur)</v>
      </c>
      <c r="C2062">
        <v>2945628</v>
      </c>
      <c r="D2062">
        <v>24000</v>
      </c>
    </row>
    <row r="2063" spans="1:4" x14ac:dyDescent="0.25">
      <c r="A2063" t="str">
        <f>T("   630392")</f>
        <v xml:space="preserve">   630392</v>
      </c>
      <c r="B2063"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2063">
        <v>1203163</v>
      </c>
      <c r="D2063">
        <v>1605</v>
      </c>
    </row>
    <row r="2064" spans="1:4" x14ac:dyDescent="0.25">
      <c r="A2064" t="str">
        <f>T("   630399")</f>
        <v xml:space="preserve">   630399</v>
      </c>
      <c r="B2064"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2064">
        <v>32697333</v>
      </c>
      <c r="D2064">
        <v>81870</v>
      </c>
    </row>
    <row r="2065" spans="1:4" x14ac:dyDescent="0.25">
      <c r="A2065" t="str">
        <f>T("   630419")</f>
        <v xml:space="preserve">   630419</v>
      </c>
      <c r="B2065" t="str">
        <f>T("   Couvre-lits en tous types de matières textiles (autres qu'en bonneterie et sauf linge de lit, couvre-pieds et édredons)")</f>
        <v xml:space="preserve">   Couvre-lits en tous types de matières textiles (autres qu'en bonneterie et sauf linge de lit, couvre-pieds et édredons)</v>
      </c>
      <c r="C2065">
        <v>259144</v>
      </c>
      <c r="D2065">
        <v>2161</v>
      </c>
    </row>
    <row r="2066" spans="1:4" x14ac:dyDescent="0.25">
      <c r="A2066" t="str">
        <f>T("   630491")</f>
        <v xml:space="preserve">   630491</v>
      </c>
      <c r="B2066" t="s">
        <v>298</v>
      </c>
      <c r="C2066">
        <v>25381696</v>
      </c>
      <c r="D2066">
        <v>110797</v>
      </c>
    </row>
    <row r="2067" spans="1:4" x14ac:dyDescent="0.25">
      <c r="A2067" t="str">
        <f>T("   630510")</f>
        <v xml:space="preserve">   630510</v>
      </c>
      <c r="B2067" t="str">
        <f>T("   Sacs et sachets d'emballage de jute ou d'autres fibres textiles libériennes du n° 5303")</f>
        <v xml:space="preserve">   Sacs et sachets d'emballage de jute ou d'autres fibres textiles libériennes du n° 5303</v>
      </c>
      <c r="C2067">
        <v>37363864</v>
      </c>
      <c r="D2067">
        <v>88122</v>
      </c>
    </row>
    <row r="2068" spans="1:4" x14ac:dyDescent="0.25">
      <c r="A2068" t="str">
        <f>T("   630533")</f>
        <v xml:space="preserve">   630533</v>
      </c>
      <c r="B2068"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2068">
        <v>11370485</v>
      </c>
      <c r="D2068">
        <v>104095</v>
      </c>
    </row>
    <row r="2069" spans="1:4" x14ac:dyDescent="0.25">
      <c r="A2069" t="str">
        <f>T("   630539")</f>
        <v xml:space="preserve">   630539</v>
      </c>
      <c r="B2069"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2069">
        <v>143974912</v>
      </c>
      <c r="D2069">
        <v>77100</v>
      </c>
    </row>
    <row r="2070" spans="1:4" x14ac:dyDescent="0.25">
      <c r="A2070" t="str">
        <f>T("   630590")</f>
        <v xml:space="preserve">   630590</v>
      </c>
      <c r="B2070"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2070">
        <v>11364500</v>
      </c>
      <c r="D2070">
        <v>75550</v>
      </c>
    </row>
    <row r="2071" spans="1:4" x14ac:dyDescent="0.25">
      <c r="A2071" t="str">
        <f>T("   630619")</f>
        <v xml:space="preserve">   630619</v>
      </c>
      <c r="B2071"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2071">
        <v>9842916</v>
      </c>
      <c r="D2071">
        <v>5950</v>
      </c>
    </row>
    <row r="2072" spans="1:4" x14ac:dyDescent="0.25">
      <c r="A2072" t="str">
        <f>T("   630622")</f>
        <v xml:space="preserve">   630622</v>
      </c>
      <c r="B2072" t="str">
        <f>T("   Tentes de fibres synthétiques (sauf paravents)")</f>
        <v xml:space="preserve">   Tentes de fibres synthétiques (sauf paravents)</v>
      </c>
      <c r="C2072">
        <v>7016148</v>
      </c>
      <c r="D2072">
        <v>15525</v>
      </c>
    </row>
    <row r="2073" spans="1:4" x14ac:dyDescent="0.25">
      <c r="A2073" t="str">
        <f>T("   630649")</f>
        <v xml:space="preserve">   630649</v>
      </c>
      <c r="B2073" t="str">
        <f>T("   Matelas pneumatiques de matières textiles (autres que de coton)")</f>
        <v xml:space="preserve">   Matelas pneumatiques de matières textiles (autres que de coton)</v>
      </c>
      <c r="C2073">
        <v>154718</v>
      </c>
      <c r="D2073">
        <v>204</v>
      </c>
    </row>
    <row r="2074" spans="1:4" x14ac:dyDescent="0.25">
      <c r="A2074" t="str">
        <f>T("   630710")</f>
        <v xml:space="preserve">   630710</v>
      </c>
      <c r="B2074" t="str">
        <f>T("   Serpillières ou wassingues, lavettes, chamoisettes et articles d'entretien simil. en tous types de matières textiles")</f>
        <v xml:space="preserve">   Serpillières ou wassingues, lavettes, chamoisettes et articles d'entretien simil. en tous types de matières textiles</v>
      </c>
      <c r="C2074">
        <v>153463</v>
      </c>
      <c r="D2074">
        <v>351</v>
      </c>
    </row>
    <row r="2075" spans="1:4" x14ac:dyDescent="0.25">
      <c r="A2075" t="str">
        <f>T("   630720")</f>
        <v xml:space="preserve">   630720</v>
      </c>
      <c r="B2075" t="str">
        <f>T("   Ceintures et gilets de sauvetage en tous types de matières textiles")</f>
        <v xml:space="preserve">   Ceintures et gilets de sauvetage en tous types de matières textiles</v>
      </c>
      <c r="C2075">
        <v>8207394</v>
      </c>
      <c r="D2075">
        <v>2383</v>
      </c>
    </row>
    <row r="2076" spans="1:4" x14ac:dyDescent="0.25">
      <c r="A2076" t="str">
        <f>T("   630790")</f>
        <v xml:space="preserve">   630790</v>
      </c>
      <c r="B2076" t="str">
        <f>T("   Articles de matières textiles, confectionnés, y.c. les patrons de vêtements n.d.a.")</f>
        <v xml:space="preserve">   Articles de matières textiles, confectionnés, y.c. les patrons de vêtements n.d.a.</v>
      </c>
      <c r="C2076">
        <v>882771</v>
      </c>
      <c r="D2076">
        <v>2829</v>
      </c>
    </row>
    <row r="2077" spans="1:4" x14ac:dyDescent="0.25">
      <c r="A2077" t="str">
        <f>T("   630900")</f>
        <v xml:space="preserve">   630900</v>
      </c>
      <c r="B2077" t="s">
        <v>300</v>
      </c>
      <c r="C2077">
        <v>4645226559</v>
      </c>
      <c r="D2077">
        <v>8338307</v>
      </c>
    </row>
    <row r="2078" spans="1:4" x14ac:dyDescent="0.25">
      <c r="A2078" t="str">
        <f>T("   640191")</f>
        <v xml:space="preserve">   640191</v>
      </c>
      <c r="B2078" t="s">
        <v>301</v>
      </c>
      <c r="C2078">
        <v>2062000</v>
      </c>
      <c r="D2078">
        <v>8000</v>
      </c>
    </row>
    <row r="2079" spans="1:4" x14ac:dyDescent="0.25">
      <c r="A2079" t="str">
        <f>T("   640192")</f>
        <v xml:space="preserve">   640192</v>
      </c>
      <c r="B2079" t="s">
        <v>302</v>
      </c>
      <c r="C2079">
        <v>2326034</v>
      </c>
      <c r="D2079">
        <v>8037</v>
      </c>
    </row>
    <row r="2080" spans="1:4" x14ac:dyDescent="0.25">
      <c r="A2080" t="str">
        <f>T("   640199")</f>
        <v xml:space="preserve">   640199</v>
      </c>
      <c r="B2080" t="s">
        <v>301</v>
      </c>
      <c r="C2080">
        <v>23116518</v>
      </c>
      <c r="D2080">
        <v>97115</v>
      </c>
    </row>
    <row r="2081" spans="1:4" x14ac:dyDescent="0.25">
      <c r="A2081" t="str">
        <f>T("   640219")</f>
        <v xml:space="preserve">   640219</v>
      </c>
      <c r="B2081" t="s">
        <v>303</v>
      </c>
      <c r="C2081">
        <v>199992714</v>
      </c>
      <c r="D2081">
        <v>730675</v>
      </c>
    </row>
    <row r="2082" spans="1:4" x14ac:dyDescent="0.25">
      <c r="A2082" t="str">
        <f>T("   640220")</f>
        <v xml:space="preserve">   640220</v>
      </c>
      <c r="B2082"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2082">
        <v>34654220</v>
      </c>
      <c r="D2082">
        <v>116146</v>
      </c>
    </row>
    <row r="2083" spans="1:4" x14ac:dyDescent="0.25">
      <c r="A2083" t="str">
        <f>T("   640299")</f>
        <v xml:space="preserve">   640299</v>
      </c>
      <c r="B2083" t="s">
        <v>305</v>
      </c>
      <c r="C2083">
        <v>1335815152</v>
      </c>
      <c r="D2083">
        <v>3917776</v>
      </c>
    </row>
    <row r="2084" spans="1:4" x14ac:dyDescent="0.25">
      <c r="A2084" t="str">
        <f>T("   640319")</f>
        <v xml:space="preserve">   640319</v>
      </c>
      <c r="B2084" t="s">
        <v>306</v>
      </c>
      <c r="C2084">
        <v>22692106</v>
      </c>
      <c r="D2084">
        <v>54950</v>
      </c>
    </row>
    <row r="2085" spans="1:4" x14ac:dyDescent="0.25">
      <c r="A2085" t="str">
        <f>T("   640340")</f>
        <v xml:space="preserve">   640340</v>
      </c>
      <c r="B2085"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2085">
        <v>100000</v>
      </c>
      <c r="D2085">
        <v>140</v>
      </c>
    </row>
    <row r="2086" spans="1:4" x14ac:dyDescent="0.25">
      <c r="A2086" t="str">
        <f>T("   640359")</f>
        <v xml:space="preserve">   640359</v>
      </c>
      <c r="B2086" t="s">
        <v>307</v>
      </c>
      <c r="C2086">
        <v>6259500</v>
      </c>
      <c r="D2086">
        <v>17200</v>
      </c>
    </row>
    <row r="2087" spans="1:4" x14ac:dyDescent="0.25">
      <c r="A2087" t="str">
        <f>T("   640391")</f>
        <v xml:space="preserve">   640391</v>
      </c>
      <c r="B2087" t="s">
        <v>308</v>
      </c>
      <c r="C2087">
        <v>438796</v>
      </c>
      <c r="D2087">
        <v>270</v>
      </c>
    </row>
    <row r="2088" spans="1:4" x14ac:dyDescent="0.25">
      <c r="A2088" t="str">
        <f>T("   640399")</f>
        <v xml:space="preserve">   640399</v>
      </c>
      <c r="B2088" t="s">
        <v>309</v>
      </c>
      <c r="C2088">
        <v>7287339</v>
      </c>
      <c r="D2088">
        <v>24950</v>
      </c>
    </row>
    <row r="2089" spans="1:4" x14ac:dyDescent="0.25">
      <c r="A2089" t="str">
        <f>T("   640419")</f>
        <v xml:space="preserve">   640419</v>
      </c>
      <c r="B2089" t="s">
        <v>310</v>
      </c>
      <c r="C2089">
        <v>130837340</v>
      </c>
      <c r="D2089">
        <v>534873</v>
      </c>
    </row>
    <row r="2090" spans="1:4" x14ac:dyDescent="0.25">
      <c r="A2090" t="str">
        <f>T("   640590")</f>
        <v xml:space="preserve">   640590</v>
      </c>
      <c r="B2090" t="s">
        <v>311</v>
      </c>
      <c r="C2090">
        <v>1941975167</v>
      </c>
      <c r="D2090">
        <v>6943152</v>
      </c>
    </row>
    <row r="2091" spans="1:4" x14ac:dyDescent="0.25">
      <c r="A2091" t="str">
        <f>T("   650300")</f>
        <v xml:space="preserve">   650300</v>
      </c>
      <c r="B2091" t="str">
        <f>T("   Chapeaux et autres coiffures en feutre, fabriqués à l'aide des cloches ou des plateaux du n° 6501, même garnis (sauf ceux fabriqués par l'assemblage de bandes ou de pièces en feutre ou ayant le caractère de jouets ou d'articles de carnaval)")</f>
        <v xml:space="preserve">   Chapeaux et autres coiffures en feutre, fabriqués à l'aide des cloches ou des plateaux du n° 6501, même garnis (sauf ceux fabriqués par l'assemblage de bandes ou de pièces en feutre ou ayant le caractère de jouets ou d'articles de carnaval)</v>
      </c>
      <c r="C2091">
        <v>1506630</v>
      </c>
      <c r="D2091">
        <v>370</v>
      </c>
    </row>
    <row r="2092" spans="1:4" x14ac:dyDescent="0.25">
      <c r="A2092" t="str">
        <f>T("   650400")</f>
        <v xml:space="preserve">   650400</v>
      </c>
      <c r="B2092"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2092">
        <v>1968246</v>
      </c>
      <c r="D2092">
        <v>7136</v>
      </c>
    </row>
    <row r="2093" spans="1:4" x14ac:dyDescent="0.25">
      <c r="A2093" t="str">
        <f>T("   650510")</f>
        <v xml:space="preserve">   650510</v>
      </c>
      <c r="B2093" t="str">
        <f>T("   Résilles et filets à cheveux en toutes matières, même garnis")</f>
        <v xml:space="preserve">   Résilles et filets à cheveux en toutes matières, même garnis</v>
      </c>
      <c r="C2093">
        <v>854352</v>
      </c>
      <c r="D2093">
        <v>810</v>
      </c>
    </row>
    <row r="2094" spans="1:4" x14ac:dyDescent="0.25">
      <c r="A2094" t="str">
        <f>T("   650590")</f>
        <v xml:space="preserve">   650590</v>
      </c>
      <c r="B2094" t="s">
        <v>312</v>
      </c>
      <c r="C2094">
        <v>8552444</v>
      </c>
      <c r="D2094">
        <v>36796</v>
      </c>
    </row>
    <row r="2095" spans="1:4" x14ac:dyDescent="0.25">
      <c r="A2095" t="str">
        <f>T("   650610")</f>
        <v xml:space="preserve">   650610</v>
      </c>
      <c r="B2095" t="str">
        <f>T("   Coiffures de sécurité, même garnies")</f>
        <v xml:space="preserve">   Coiffures de sécurité, même garnies</v>
      </c>
      <c r="C2095">
        <v>30869261</v>
      </c>
      <c r="D2095">
        <v>40815</v>
      </c>
    </row>
    <row r="2096" spans="1:4" x14ac:dyDescent="0.25">
      <c r="A2096" t="str">
        <f>T("   650691")</f>
        <v xml:space="preserve">   650691</v>
      </c>
      <c r="B2096" t="s">
        <v>313</v>
      </c>
      <c r="C2096">
        <v>93250</v>
      </c>
      <c r="D2096">
        <v>500</v>
      </c>
    </row>
    <row r="2097" spans="1:4" x14ac:dyDescent="0.25">
      <c r="A2097" t="str">
        <f>T("   650699")</f>
        <v xml:space="preserve">   650699</v>
      </c>
      <c r="B2097" t="str">
        <f>T("   Chapeaux et autres coiffures, même garnis, n.d.a.")</f>
        <v xml:space="preserve">   Chapeaux et autres coiffures, même garnis, n.d.a.</v>
      </c>
      <c r="C2097">
        <v>7781816</v>
      </c>
      <c r="D2097">
        <v>13893</v>
      </c>
    </row>
    <row r="2098" spans="1:4" x14ac:dyDescent="0.25">
      <c r="A2098" t="str">
        <f>T("   650700")</f>
        <v xml:space="preserve">   650700</v>
      </c>
      <c r="B2098"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2098">
        <v>5234561</v>
      </c>
      <c r="D2098">
        <v>12500</v>
      </c>
    </row>
    <row r="2099" spans="1:4" x14ac:dyDescent="0.25">
      <c r="A2099" t="str">
        <f>T("   660110")</f>
        <v xml:space="preserve">   660110</v>
      </c>
      <c r="B2099" t="str">
        <f>T("   Parasols de jardin et articles simil. (sauf tentes de plage)")</f>
        <v xml:space="preserve">   Parasols de jardin et articles simil. (sauf tentes de plage)</v>
      </c>
      <c r="C2099">
        <v>34913739</v>
      </c>
      <c r="D2099">
        <v>14149</v>
      </c>
    </row>
    <row r="2100" spans="1:4" x14ac:dyDescent="0.25">
      <c r="A2100" t="str">
        <f>T("   660191")</f>
        <v xml:space="preserve">   660191</v>
      </c>
      <c r="B2100" t="str">
        <f>T("   Parapluies, y.c. les parapluies-cannes et ombrelles, à mât ou à manche télescopique (sauf jouets d'enfants)")</f>
        <v xml:space="preserve">   Parapluies, y.c. les parapluies-cannes et ombrelles, à mât ou à manche télescopique (sauf jouets d'enfants)</v>
      </c>
      <c r="C2100">
        <v>4371973</v>
      </c>
      <c r="D2100">
        <v>20100</v>
      </c>
    </row>
    <row r="2101" spans="1:4" x14ac:dyDescent="0.25">
      <c r="A2101" t="str">
        <f>T("   660199")</f>
        <v xml:space="preserve">   660199</v>
      </c>
      <c r="B210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2101">
        <v>9480007</v>
      </c>
      <c r="D2101">
        <v>30277</v>
      </c>
    </row>
    <row r="2102" spans="1:4" x14ac:dyDescent="0.25">
      <c r="A2102" t="str">
        <f>T("   670210")</f>
        <v xml:space="preserve">   670210</v>
      </c>
      <c r="B2102"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2102">
        <v>9317727</v>
      </c>
      <c r="D2102">
        <v>9395</v>
      </c>
    </row>
    <row r="2103" spans="1:4" x14ac:dyDescent="0.25">
      <c r="A2103" t="str">
        <f>T("   670290")</f>
        <v xml:space="preserve">   670290</v>
      </c>
      <c r="B2103"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2103">
        <v>44068257</v>
      </c>
      <c r="D2103">
        <v>118815</v>
      </c>
    </row>
    <row r="2104" spans="1:4" x14ac:dyDescent="0.25">
      <c r="A2104" t="str">
        <f>T("   670300")</f>
        <v xml:space="preserve">   670300</v>
      </c>
      <c r="B2104" t="str">
        <f>T("   Cheveux remis, amincis, blanchis ou autrement préparés; laine, poils et autres matières textiles, préparés pour la fabrication de perruques ou d'articles simil. (sauf tresses en cheveux naturels, bruts, même lavés et dégraissés, sinon non traités)")</f>
        <v xml:space="preserve">   Cheveux remis, amincis, blanchis ou autrement préparés; laine, poils et autres matières textiles, préparés pour la fabrication de perruques ou d'articles simil. (sauf tresses en cheveux naturels, bruts, même lavés et dégraissés, sinon non traités)</v>
      </c>
      <c r="C2104">
        <v>86634</v>
      </c>
      <c r="D2104">
        <v>15</v>
      </c>
    </row>
    <row r="2105" spans="1:4" x14ac:dyDescent="0.25">
      <c r="A2105" t="str">
        <f>T("   670419")</f>
        <v xml:space="preserve">   670419</v>
      </c>
      <c r="B2105" t="str">
        <f>T("   Barbes, sourcils, cils, mèches et articles simil., en matières textiles synthétiques (sauf perruques complètes)")</f>
        <v xml:space="preserve">   Barbes, sourcils, cils, mèches et articles simil., en matières textiles synthétiques (sauf perruques complètes)</v>
      </c>
      <c r="C2105">
        <v>17099267</v>
      </c>
      <c r="D2105">
        <v>51444</v>
      </c>
    </row>
    <row r="2106" spans="1:4" x14ac:dyDescent="0.25">
      <c r="A2106" t="str">
        <f>T("   670420")</f>
        <v xml:space="preserve">   670420</v>
      </c>
      <c r="B2106" t="str">
        <f>T("   Perruques, barbes, sourcils, cils, mèches et articles simil., en cheveux; ouvrages en cheveux n.d.a.")</f>
        <v xml:space="preserve">   Perruques, barbes, sourcils, cils, mèches et articles simil., en cheveux; ouvrages en cheveux n.d.a.</v>
      </c>
      <c r="C2106">
        <v>2392087</v>
      </c>
      <c r="D2106">
        <v>10471</v>
      </c>
    </row>
    <row r="2107" spans="1:4" x14ac:dyDescent="0.25">
      <c r="A2107" t="str">
        <f>T("   670490")</f>
        <v xml:space="preserve">   670490</v>
      </c>
      <c r="B2107"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2107">
        <v>3699008</v>
      </c>
      <c r="D2107">
        <v>12573</v>
      </c>
    </row>
    <row r="2108" spans="1:4" x14ac:dyDescent="0.25">
      <c r="A2108" t="str">
        <f>T("   680210")</f>
        <v xml:space="preserve">   680210</v>
      </c>
      <c r="B2108" t="s">
        <v>314</v>
      </c>
      <c r="C2108">
        <v>6515988</v>
      </c>
      <c r="D2108">
        <v>37759</v>
      </c>
    </row>
    <row r="2109" spans="1:4" x14ac:dyDescent="0.25">
      <c r="A2109" t="str">
        <f>T("   680221")</f>
        <v xml:space="preserve">   680221</v>
      </c>
      <c r="B2109" t="s">
        <v>315</v>
      </c>
      <c r="C2109">
        <v>200000</v>
      </c>
      <c r="D2109">
        <v>200</v>
      </c>
    </row>
    <row r="2110" spans="1:4" x14ac:dyDescent="0.25">
      <c r="A2110" t="str">
        <f>T("   680223")</f>
        <v xml:space="preserve">   680223</v>
      </c>
      <c r="B2110"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2110">
        <v>4360398</v>
      </c>
      <c r="D2110">
        <v>11200</v>
      </c>
    </row>
    <row r="2111" spans="1:4" x14ac:dyDescent="0.25">
      <c r="A2111" t="str">
        <f>T("   680229")</f>
        <v xml:space="preserve">   680229</v>
      </c>
      <c r="B2111" t="s">
        <v>316</v>
      </c>
      <c r="C2111">
        <v>130365491</v>
      </c>
      <c r="D2111">
        <v>98526</v>
      </c>
    </row>
    <row r="2112" spans="1:4" x14ac:dyDescent="0.25">
      <c r="A2112" t="str">
        <f>T("   680293")</f>
        <v xml:space="preserve">   680293</v>
      </c>
      <c r="B2112"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2112">
        <v>8722322</v>
      </c>
      <c r="D2112">
        <v>48792</v>
      </c>
    </row>
    <row r="2113" spans="1:4" x14ac:dyDescent="0.25">
      <c r="A2113" t="str">
        <f>T("   680299")</f>
        <v xml:space="preserve">   680299</v>
      </c>
      <c r="B2113" t="s">
        <v>318</v>
      </c>
      <c r="C2113">
        <v>52359</v>
      </c>
      <c r="D2113">
        <v>400</v>
      </c>
    </row>
    <row r="2114" spans="1:4" x14ac:dyDescent="0.25">
      <c r="A2114" t="str">
        <f>T("   680421")</f>
        <v xml:space="preserve">   680421</v>
      </c>
      <c r="B2114" t="s">
        <v>320</v>
      </c>
      <c r="C2114">
        <v>549458</v>
      </c>
      <c r="D2114">
        <v>149</v>
      </c>
    </row>
    <row r="2115" spans="1:4" x14ac:dyDescent="0.25">
      <c r="A2115" t="str">
        <f>T("   680422")</f>
        <v xml:space="preserve">   680422</v>
      </c>
      <c r="B2115" t="s">
        <v>321</v>
      </c>
      <c r="C2115">
        <v>1750508</v>
      </c>
      <c r="D2115">
        <v>700</v>
      </c>
    </row>
    <row r="2116" spans="1:4" x14ac:dyDescent="0.25">
      <c r="A2116" t="str">
        <f>T("   680423")</f>
        <v xml:space="preserve">   680423</v>
      </c>
      <c r="B2116" t="s">
        <v>322</v>
      </c>
      <c r="C2116">
        <v>301063</v>
      </c>
      <c r="D2116">
        <v>1000</v>
      </c>
    </row>
    <row r="2117" spans="1:4" x14ac:dyDescent="0.25">
      <c r="A2117" t="str">
        <f>T("   680919")</f>
        <v xml:space="preserve">   680919</v>
      </c>
      <c r="B2117" t="s">
        <v>325</v>
      </c>
      <c r="C2117">
        <v>20716278</v>
      </c>
      <c r="D2117">
        <v>137318</v>
      </c>
    </row>
    <row r="2118" spans="1:4" x14ac:dyDescent="0.25">
      <c r="A2118" t="str">
        <f>T("   680990")</f>
        <v xml:space="preserve">   680990</v>
      </c>
      <c r="B2118" t="s">
        <v>326</v>
      </c>
      <c r="C2118">
        <v>19546894</v>
      </c>
      <c r="D2118">
        <v>72540</v>
      </c>
    </row>
    <row r="2119" spans="1:4" x14ac:dyDescent="0.25">
      <c r="A2119" t="str">
        <f>T("   681019")</f>
        <v xml:space="preserve">   681019</v>
      </c>
      <c r="B2119"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2119">
        <v>11585374</v>
      </c>
      <c r="D2119">
        <v>11483</v>
      </c>
    </row>
    <row r="2120" spans="1:4" x14ac:dyDescent="0.25">
      <c r="A2120" t="str">
        <f>T("   681099")</f>
        <v xml:space="preserve">   681099</v>
      </c>
      <c r="B2120"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2120">
        <v>3276898</v>
      </c>
      <c r="D2120">
        <v>10468</v>
      </c>
    </row>
    <row r="2121" spans="1:4" x14ac:dyDescent="0.25">
      <c r="A2121" t="str">
        <f>T("   681120")</f>
        <v xml:space="preserve">   681120</v>
      </c>
      <c r="B2121" t="str">
        <f>T("   Plaques, panneaux, carreaux, tuiles et articles simil., en amiante-ciment, cellulose-ciment ou simil. (sauf plaques ondulées)")</f>
        <v xml:space="preserve">   Plaques, panneaux, carreaux, tuiles et articles simil., en amiante-ciment, cellulose-ciment ou simil. (sauf plaques ondulées)</v>
      </c>
      <c r="C2121">
        <v>2899204</v>
      </c>
      <c r="D2121">
        <v>8338</v>
      </c>
    </row>
    <row r="2122" spans="1:4" x14ac:dyDescent="0.25">
      <c r="A2122" t="str">
        <f>T("   681140")</f>
        <v xml:space="preserve">   681140</v>
      </c>
      <c r="B2122" t="str">
        <f>T("   OUVRAGES EN AMIANTE-CIMENT, CELLULOSE-CIMENT OU SIMIL., CONTENANT DE L'AMIANTE")</f>
        <v xml:space="preserve">   OUVRAGES EN AMIANTE-CIMENT, CELLULOSE-CIMENT OU SIMIL., CONTENANT DE L'AMIANTE</v>
      </c>
      <c r="C2122">
        <v>6101125</v>
      </c>
      <c r="D2122">
        <v>65468</v>
      </c>
    </row>
    <row r="2123" spans="1:4" x14ac:dyDescent="0.25">
      <c r="A2123" t="str">
        <f>T("   681182")</f>
        <v xml:space="preserve">   681182</v>
      </c>
      <c r="B2123" t="str">
        <f>T("   PLAQUES, PANNEAUX, CARREAUX, TUILES ET ARTICLES SIMIL., EN CELLULOSE-CIMENT OU SIMIL., NE CONTENANT PAS DE L'AMIANTE (SAUF PLAQUES ONDULÉES)")</f>
        <v xml:space="preserve">   PLAQUES, PANNEAUX, CARREAUX, TUILES ET ARTICLES SIMIL., EN CELLULOSE-CIMENT OU SIMIL., NE CONTENANT PAS DE L'AMIANTE (SAUF PLAQUES ONDULÉES)</v>
      </c>
      <c r="C2123">
        <v>11076840</v>
      </c>
      <c r="D2123">
        <v>141840</v>
      </c>
    </row>
    <row r="2124" spans="1:4" x14ac:dyDescent="0.25">
      <c r="A2124" t="str">
        <f>T("   690210")</f>
        <v xml:space="preserve">   690210</v>
      </c>
      <c r="B2124"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2124">
        <v>74419974</v>
      </c>
      <c r="D2124">
        <v>131352</v>
      </c>
    </row>
    <row r="2125" spans="1:4" x14ac:dyDescent="0.25">
      <c r="A2125" t="str">
        <f>T("   690220")</f>
        <v xml:space="preserve">   690220</v>
      </c>
      <c r="B2125" t="s">
        <v>329</v>
      </c>
      <c r="C2125">
        <v>384722</v>
      </c>
      <c r="D2125">
        <v>11000</v>
      </c>
    </row>
    <row r="2126" spans="1:4" x14ac:dyDescent="0.25">
      <c r="A2126" t="str">
        <f>T("   690290")</f>
        <v xml:space="preserve">   690290</v>
      </c>
      <c r="B2126" t="s">
        <v>330</v>
      </c>
      <c r="C2126">
        <v>53523062</v>
      </c>
      <c r="D2126">
        <v>364556</v>
      </c>
    </row>
    <row r="2127" spans="1:4" x14ac:dyDescent="0.25">
      <c r="A2127" t="str">
        <f>T("   690390")</f>
        <v xml:space="preserve">   690390</v>
      </c>
      <c r="B2127" t="s">
        <v>332</v>
      </c>
      <c r="C2127">
        <v>2000000</v>
      </c>
      <c r="D2127">
        <v>500</v>
      </c>
    </row>
    <row r="2128" spans="1:4" x14ac:dyDescent="0.25">
      <c r="A2128" t="str">
        <f>T("   690490")</f>
        <v xml:space="preserve">   690490</v>
      </c>
      <c r="B2128" t="s">
        <v>333</v>
      </c>
      <c r="C2128">
        <v>20491387</v>
      </c>
      <c r="D2128">
        <v>118606</v>
      </c>
    </row>
    <row r="2129" spans="1:4" x14ac:dyDescent="0.25">
      <c r="A2129" t="str">
        <f>T("   690510")</f>
        <v xml:space="preserve">   690510</v>
      </c>
      <c r="B2129" t="str">
        <f>T("   Tuiles")</f>
        <v xml:space="preserve">   Tuiles</v>
      </c>
      <c r="C2129">
        <v>35230491</v>
      </c>
      <c r="D2129">
        <v>406267</v>
      </c>
    </row>
    <row r="2130" spans="1:4" x14ac:dyDescent="0.25">
      <c r="A2130" t="str">
        <f>T("   690590")</f>
        <v xml:space="preserve">   690590</v>
      </c>
      <c r="B2130" t="s">
        <v>334</v>
      </c>
      <c r="C2130">
        <v>28602867</v>
      </c>
      <c r="D2130">
        <v>274739</v>
      </c>
    </row>
    <row r="2131" spans="1:4" x14ac:dyDescent="0.25">
      <c r="A2131" t="str">
        <f>T("   690710")</f>
        <v xml:space="preserve">   690710</v>
      </c>
      <c r="B2131"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2131">
        <v>48572679</v>
      </c>
      <c r="D2131">
        <v>290330</v>
      </c>
    </row>
    <row r="2132" spans="1:4" x14ac:dyDescent="0.25">
      <c r="A2132" t="str">
        <f>T("   690790")</f>
        <v xml:space="preserve">   690790</v>
      </c>
      <c r="B2132" t="s">
        <v>335</v>
      </c>
      <c r="C2132">
        <v>745260073</v>
      </c>
      <c r="D2132">
        <v>6105699</v>
      </c>
    </row>
    <row r="2133" spans="1:4" x14ac:dyDescent="0.25">
      <c r="A2133" t="str">
        <f>T("   690810")</f>
        <v xml:space="preserve">   690810</v>
      </c>
      <c r="B2133"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2133">
        <v>240521297</v>
      </c>
      <c r="D2133">
        <v>2169848</v>
      </c>
    </row>
    <row r="2134" spans="1:4" x14ac:dyDescent="0.25">
      <c r="A2134" t="str">
        <f>T("   690890")</f>
        <v xml:space="preserve">   690890</v>
      </c>
      <c r="B2134" t="s">
        <v>336</v>
      </c>
      <c r="C2134">
        <v>4585909305</v>
      </c>
      <c r="D2134">
        <v>41380442</v>
      </c>
    </row>
    <row r="2135" spans="1:4" x14ac:dyDescent="0.25">
      <c r="A2135" t="str">
        <f>T("   691010")</f>
        <v xml:space="preserve">   691010</v>
      </c>
      <c r="B2135" t="s">
        <v>338</v>
      </c>
      <c r="C2135">
        <v>49657456</v>
      </c>
      <c r="D2135">
        <v>396751</v>
      </c>
    </row>
    <row r="2136" spans="1:4" x14ac:dyDescent="0.25">
      <c r="A2136" t="str">
        <f>T("   691090")</f>
        <v xml:space="preserve">   691090</v>
      </c>
      <c r="B2136" t="s">
        <v>339</v>
      </c>
      <c r="C2136">
        <v>267632552</v>
      </c>
      <c r="D2136">
        <v>879927</v>
      </c>
    </row>
    <row r="2137" spans="1:4" x14ac:dyDescent="0.25">
      <c r="A2137" t="str">
        <f>T("   691110")</f>
        <v xml:space="preserve">   691110</v>
      </c>
      <c r="B2137" t="s">
        <v>340</v>
      </c>
      <c r="C2137">
        <v>48100655</v>
      </c>
      <c r="D2137">
        <v>241125</v>
      </c>
    </row>
    <row r="2138" spans="1:4" x14ac:dyDescent="0.25">
      <c r="A2138" t="str">
        <f>T("   691190")</f>
        <v xml:space="preserve">   691190</v>
      </c>
      <c r="B2138" t="s">
        <v>341</v>
      </c>
      <c r="C2138">
        <v>12674459</v>
      </c>
      <c r="D2138">
        <v>49482</v>
      </c>
    </row>
    <row r="2139" spans="1:4" x14ac:dyDescent="0.25">
      <c r="A2139" t="str">
        <f>T("   691200")</f>
        <v xml:space="preserve">   691200</v>
      </c>
      <c r="B2139" t="s">
        <v>342</v>
      </c>
      <c r="C2139">
        <v>71937217</v>
      </c>
      <c r="D2139">
        <v>182397</v>
      </c>
    </row>
    <row r="2140" spans="1:4" x14ac:dyDescent="0.25">
      <c r="A2140" t="str">
        <f>T("   691390")</f>
        <v xml:space="preserve">   691390</v>
      </c>
      <c r="B2140" t="str">
        <f>T("   Statuettes et autres objets d'ornementation en céramique autres que la porcelaine n.d.a.")</f>
        <v xml:space="preserve">   Statuettes et autres objets d'ornementation en céramique autres que la porcelaine n.d.a.</v>
      </c>
      <c r="C2140">
        <v>3785672</v>
      </c>
      <c r="D2140">
        <v>5887</v>
      </c>
    </row>
    <row r="2141" spans="1:4" x14ac:dyDescent="0.25">
      <c r="A2141" t="str">
        <f>T("   691410")</f>
        <v xml:space="preserve">   691410</v>
      </c>
      <c r="B2141" t="str">
        <f>T("   Ouvrages en porcelaine n.d.a.")</f>
        <v xml:space="preserve">   Ouvrages en porcelaine n.d.a.</v>
      </c>
      <c r="C2141">
        <v>359481</v>
      </c>
      <c r="D2141">
        <v>652</v>
      </c>
    </row>
    <row r="2142" spans="1:4" x14ac:dyDescent="0.25">
      <c r="A2142" t="str">
        <f>T("   691490")</f>
        <v xml:space="preserve">   691490</v>
      </c>
      <c r="B2142" t="str">
        <f>T("   Ouvrages en céramique autres que la porcelaine n.d.a.")</f>
        <v xml:space="preserve">   Ouvrages en céramique autres que la porcelaine n.d.a.</v>
      </c>
      <c r="C2142">
        <v>1980436</v>
      </c>
      <c r="D2142">
        <v>2537</v>
      </c>
    </row>
    <row r="2143" spans="1:4" x14ac:dyDescent="0.25">
      <c r="A2143" t="str">
        <f>T("   700220")</f>
        <v xml:space="preserve">   700220</v>
      </c>
      <c r="B2143" t="str">
        <f>T("   BARRES OU BAGUETTES EN VERRE NON-TRAVAILLÉ")</f>
        <v xml:space="preserve">   BARRES OU BAGUETTES EN VERRE NON-TRAVAILLÉ</v>
      </c>
      <c r="C2143">
        <v>4760000</v>
      </c>
      <c r="D2143">
        <v>20000</v>
      </c>
    </row>
    <row r="2144" spans="1:4" x14ac:dyDescent="0.25">
      <c r="A2144" t="str">
        <f>T("   700319")</f>
        <v xml:space="preserve">   700319</v>
      </c>
      <c r="B2144"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2144">
        <v>13661430</v>
      </c>
      <c r="D2144">
        <v>67301</v>
      </c>
    </row>
    <row r="2145" spans="1:4" x14ac:dyDescent="0.25">
      <c r="A2145" t="str">
        <f>T("   700420")</f>
        <v xml:space="preserve">   700420</v>
      </c>
      <c r="B2145" t="str">
        <f>T("   FEUILLES EN VERRE ÉTIRÉ OU SOUFFLÉ, COLORÉ DANS LA MASSE, OPACIFIÉ, PLAQUÉ [DOUBLÉES], OU À COUCHE ABSORBANTE, RÉFLÉCHISSANTE OU NON-RÉFLÉCHISSANTE, MAIS NON AUTREMENT TRAVAILLÉ")</f>
        <v xml:space="preserve">   FEUILLES EN VERRE ÉTIRÉ OU SOUFFLÉ, COLORÉ DANS LA MASSE, OPACIFIÉ, PLAQUÉ [DOUBLÉES], OU À COUCHE ABSORBANTE, RÉFLÉCHISSANTE OU NON-RÉFLÉCHISSANTE, MAIS NON AUTREMENT TRAVAILLÉ</v>
      </c>
      <c r="C2145">
        <v>12100000</v>
      </c>
      <c r="D2145">
        <v>52000</v>
      </c>
    </row>
    <row r="2146" spans="1:4" x14ac:dyDescent="0.25">
      <c r="A2146" t="str">
        <f>T("   700490")</f>
        <v xml:space="preserve">   700490</v>
      </c>
      <c r="B2146"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2146">
        <v>33279031</v>
      </c>
      <c r="D2146">
        <v>128808</v>
      </c>
    </row>
    <row r="2147" spans="1:4" x14ac:dyDescent="0.25">
      <c r="A2147" t="str">
        <f>T("   700510")</f>
        <v xml:space="preserve">   700510</v>
      </c>
      <c r="B2147"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2147">
        <v>6038500</v>
      </c>
      <c r="D2147">
        <v>25000</v>
      </c>
    </row>
    <row r="2148" spans="1:4" x14ac:dyDescent="0.25">
      <c r="A2148" t="str">
        <f>T("   700529")</f>
        <v xml:space="preserve">   700529</v>
      </c>
      <c r="B2148" t="s">
        <v>343</v>
      </c>
      <c r="C2148">
        <v>539455586</v>
      </c>
      <c r="D2148">
        <v>2437975</v>
      </c>
    </row>
    <row r="2149" spans="1:4" x14ac:dyDescent="0.25">
      <c r="A2149" t="str">
        <f>T("   700600")</f>
        <v xml:space="preserve">   700600</v>
      </c>
      <c r="B2149" t="s">
        <v>344</v>
      </c>
      <c r="C2149">
        <v>28638724</v>
      </c>
      <c r="D2149">
        <v>260560</v>
      </c>
    </row>
    <row r="2150" spans="1:4" x14ac:dyDescent="0.25">
      <c r="A2150" t="str">
        <f>T("   700711")</f>
        <v xml:space="preserve">   700711</v>
      </c>
      <c r="B2150"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2150">
        <v>6879704</v>
      </c>
      <c r="D2150">
        <v>12450</v>
      </c>
    </row>
    <row r="2151" spans="1:4" x14ac:dyDescent="0.25">
      <c r="A2151" t="str">
        <f>T("   700721")</f>
        <v xml:space="preserve">   700721</v>
      </c>
      <c r="B2151" t="s">
        <v>346</v>
      </c>
      <c r="C2151">
        <v>8985529</v>
      </c>
      <c r="D2151">
        <v>28380</v>
      </c>
    </row>
    <row r="2152" spans="1:4" x14ac:dyDescent="0.25">
      <c r="A2152" t="str">
        <f>T("   700800")</f>
        <v xml:space="preserve">   700800</v>
      </c>
      <c r="B2152" t="str">
        <f>T("   Vitrages isolants à parois multiples")</f>
        <v xml:space="preserve">   Vitrages isolants à parois multiples</v>
      </c>
      <c r="C2152">
        <v>29352956</v>
      </c>
      <c r="D2152">
        <v>100910</v>
      </c>
    </row>
    <row r="2153" spans="1:4" x14ac:dyDescent="0.25">
      <c r="A2153" t="str">
        <f>T("   700991")</f>
        <v xml:space="preserve">   700991</v>
      </c>
      <c r="B2153"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2153">
        <v>10245233</v>
      </c>
      <c r="D2153">
        <v>55942</v>
      </c>
    </row>
    <row r="2154" spans="1:4" x14ac:dyDescent="0.25">
      <c r="A2154" t="str">
        <f>T("   700992")</f>
        <v xml:space="preserve">   700992</v>
      </c>
      <c r="B2154" t="str">
        <f>T("   Miroirs, en verre encadrés (sauf miroirs rétroviseurs pour véhicules)")</f>
        <v xml:space="preserve">   Miroirs, en verre encadrés (sauf miroirs rétroviseurs pour véhicules)</v>
      </c>
      <c r="C2154">
        <v>7558194</v>
      </c>
      <c r="D2154">
        <v>36855</v>
      </c>
    </row>
    <row r="2155" spans="1:4" x14ac:dyDescent="0.25">
      <c r="A2155" t="str">
        <f>T("   701010")</f>
        <v xml:space="preserve">   701010</v>
      </c>
      <c r="B2155" t="str">
        <f>T("   AMPOULES EN VERRE")</f>
        <v xml:space="preserve">   AMPOULES EN VERRE</v>
      </c>
      <c r="C2155">
        <v>3017416</v>
      </c>
      <c r="D2155">
        <v>26248</v>
      </c>
    </row>
    <row r="2156" spans="1:4" x14ac:dyDescent="0.25">
      <c r="A2156" t="str">
        <f>T("   701090")</f>
        <v xml:space="preserve">   701090</v>
      </c>
      <c r="B2156" t="s">
        <v>348</v>
      </c>
      <c r="C2156">
        <v>10464626</v>
      </c>
      <c r="D2156">
        <v>24583</v>
      </c>
    </row>
    <row r="2157" spans="1:4" x14ac:dyDescent="0.25">
      <c r="A2157" t="str">
        <f>T("   701110")</f>
        <v xml:space="preserve">   701110</v>
      </c>
      <c r="B2157"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2157">
        <v>964398</v>
      </c>
      <c r="D2157">
        <v>1249</v>
      </c>
    </row>
    <row r="2158" spans="1:4" x14ac:dyDescent="0.25">
      <c r="A2158" t="str">
        <f>T("   701190")</f>
        <v xml:space="preserve">   701190</v>
      </c>
      <c r="B2158"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2158">
        <v>87667728</v>
      </c>
      <c r="D2158">
        <v>204933</v>
      </c>
    </row>
    <row r="2159" spans="1:4" x14ac:dyDescent="0.25">
      <c r="A2159" t="str">
        <f>T("   701310")</f>
        <v xml:space="preserve">   701310</v>
      </c>
      <c r="B2159" t="s">
        <v>351</v>
      </c>
      <c r="C2159">
        <v>22680000</v>
      </c>
      <c r="D2159">
        <v>95955</v>
      </c>
    </row>
    <row r="2160" spans="1:4" x14ac:dyDescent="0.25">
      <c r="A2160" t="str">
        <f>T("   701328")</f>
        <v xml:space="preserve">   701328</v>
      </c>
      <c r="B2160" t="str">
        <f>T("   VERRES À BOIRE À PIED (À L'EXCL. DES VERRES EN VITROCÉRAME ET EN CRISTAL AU PLOMB)")</f>
        <v xml:space="preserve">   VERRES À BOIRE À PIED (À L'EXCL. DES VERRES EN VITROCÉRAME ET EN CRISTAL AU PLOMB)</v>
      </c>
      <c r="C2160">
        <v>23276327</v>
      </c>
      <c r="D2160">
        <v>112086</v>
      </c>
    </row>
    <row r="2161" spans="1:4" x14ac:dyDescent="0.25">
      <c r="A2161" t="str">
        <f>T("   701329")</f>
        <v xml:space="preserve">   701329</v>
      </c>
      <c r="B2161" t="str">
        <f>T("   Verres à boire (autres qu'en vitrocérame, autres qu'en cristal au plomb)")</f>
        <v xml:space="preserve">   Verres à boire (autres qu'en vitrocérame, autres qu'en cristal au plomb)</v>
      </c>
      <c r="C2161">
        <v>7557497</v>
      </c>
      <c r="D2161">
        <v>36073</v>
      </c>
    </row>
    <row r="2162" spans="1:4" x14ac:dyDescent="0.25">
      <c r="A2162" t="str">
        <f>T("   701337")</f>
        <v xml:space="preserve">   701337</v>
      </c>
      <c r="B2162" t="str">
        <f>T("   VERRES À BOIRE (À L'EXCL. DES VERRES EN VITROCÉRAME ET EN CRISTAL AU PLOMB AINSI QUE DES VERRES À PIED)")</f>
        <v xml:space="preserve">   VERRES À BOIRE (À L'EXCL. DES VERRES EN VITROCÉRAME ET EN CRISTAL AU PLOMB AINSI QUE DES VERRES À PIED)</v>
      </c>
      <c r="C2162">
        <v>14864291</v>
      </c>
      <c r="D2162">
        <v>44485</v>
      </c>
    </row>
    <row r="2163" spans="1:4" x14ac:dyDescent="0.25">
      <c r="A2163" t="str">
        <f>T("   701349")</f>
        <v xml:space="preserve">   701349</v>
      </c>
      <c r="B2163" t="s">
        <v>353</v>
      </c>
      <c r="C2163">
        <v>1128232</v>
      </c>
      <c r="D2163">
        <v>631</v>
      </c>
    </row>
    <row r="2164" spans="1:4" x14ac:dyDescent="0.25">
      <c r="A2164" t="str">
        <f>T("   701391")</f>
        <v xml:space="preserve">   701391</v>
      </c>
      <c r="B2164" t="s">
        <v>354</v>
      </c>
      <c r="C2164">
        <v>4551050</v>
      </c>
      <c r="D2164">
        <v>36000</v>
      </c>
    </row>
    <row r="2165" spans="1:4" x14ac:dyDescent="0.25">
      <c r="A2165" t="str">
        <f>T("   701399")</f>
        <v xml:space="preserve">   701399</v>
      </c>
      <c r="B2165" t="s">
        <v>355</v>
      </c>
      <c r="C2165">
        <v>69649252</v>
      </c>
      <c r="D2165">
        <v>343558</v>
      </c>
    </row>
    <row r="2166" spans="1:4" x14ac:dyDescent="0.25">
      <c r="A2166" t="str">
        <f>T("   701610")</f>
        <v xml:space="preserve">   701610</v>
      </c>
      <c r="B2166"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2166">
        <v>3254242</v>
      </c>
      <c r="D2166">
        <v>19669</v>
      </c>
    </row>
    <row r="2167" spans="1:4" x14ac:dyDescent="0.25">
      <c r="A2167" t="str">
        <f>T("   701690")</f>
        <v xml:space="preserve">   701690</v>
      </c>
      <c r="B2167" t="s">
        <v>356</v>
      </c>
      <c r="C2167">
        <v>9981668</v>
      </c>
      <c r="D2167">
        <v>91658</v>
      </c>
    </row>
    <row r="2168" spans="1:4" x14ac:dyDescent="0.25">
      <c r="A2168" t="str">
        <f>T("   701720")</f>
        <v xml:space="preserve">   701720</v>
      </c>
      <c r="B2168" t="s">
        <v>358</v>
      </c>
      <c r="C2168">
        <v>10254281</v>
      </c>
      <c r="D2168">
        <v>9269</v>
      </c>
    </row>
    <row r="2169" spans="1:4" x14ac:dyDescent="0.25">
      <c r="A2169" t="str">
        <f>T("   701790")</f>
        <v xml:space="preserve">   701790</v>
      </c>
      <c r="B2169" t="s">
        <v>359</v>
      </c>
      <c r="C2169">
        <v>1698943</v>
      </c>
      <c r="D2169">
        <v>992</v>
      </c>
    </row>
    <row r="2170" spans="1:4" x14ac:dyDescent="0.25">
      <c r="A2170" t="str">
        <f>T("   702000")</f>
        <v xml:space="preserve">   702000</v>
      </c>
      <c r="B2170" t="str">
        <f>T("   Ouvrages en verre n.d.a.")</f>
        <v xml:space="preserve">   Ouvrages en verre n.d.a.</v>
      </c>
      <c r="C2170">
        <v>8691721</v>
      </c>
      <c r="D2170">
        <v>17269</v>
      </c>
    </row>
    <row r="2171" spans="1:4" x14ac:dyDescent="0.25">
      <c r="A2171" t="str">
        <f>T("   711790")</f>
        <v xml:space="preserve">   711790</v>
      </c>
      <c r="B2171" t="str">
        <f>T("   Bijouterie de fantaisie (autre qu'en métaux communs, même argentés, dorés ou platinés)")</f>
        <v xml:space="preserve">   Bijouterie de fantaisie (autre qu'en métaux communs, même argentés, dorés ou platinés)</v>
      </c>
      <c r="C2171">
        <v>9019060</v>
      </c>
      <c r="D2171">
        <v>2311</v>
      </c>
    </row>
    <row r="2172" spans="1:4" x14ac:dyDescent="0.25">
      <c r="A2172" t="str">
        <f>T("   720429")</f>
        <v xml:space="preserve">   720429</v>
      </c>
      <c r="B2172"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172">
        <v>26512000</v>
      </c>
      <c r="D2172">
        <v>125000</v>
      </c>
    </row>
    <row r="2173" spans="1:4" x14ac:dyDescent="0.25">
      <c r="A2173" t="str">
        <f>T("   720449")</f>
        <v xml:space="preserve">   720449</v>
      </c>
      <c r="B2173" t="s">
        <v>363</v>
      </c>
      <c r="C2173">
        <v>21486114</v>
      </c>
      <c r="D2173">
        <v>51900</v>
      </c>
    </row>
    <row r="2174" spans="1:4" x14ac:dyDescent="0.25">
      <c r="A2174" t="str">
        <f>T("   720690")</f>
        <v xml:space="preserve">   720690</v>
      </c>
      <c r="B2174" t="str">
        <f>T("   FER ET ACIERS NON ALLIÉS EN LOUPES BRUTES OU AUTRES FORMES BRUTES (AUTRES QUE LINGOTS BRUTS, DÉCHETS LINGOTÉS, PRODUITS DE COULÉE CONTINUE ET PRODUITS FERREUX OBTENUS PAR RÉDUCTION DIRECTE DES MINERAIS DE FER)")</f>
        <v xml:space="preserve">   FER ET ACIERS NON ALLIÉS EN LOUPES BRUTES OU AUTRES FORMES BRUTES (AUTRES QUE LINGOTS BRUTS, DÉCHETS LINGOTÉS, PRODUITS DE COULÉE CONTINUE ET PRODUITS FERREUX OBTENUS PAR RÉDUCTION DIRECTE DES MINERAIS DE FER)</v>
      </c>
      <c r="C2174">
        <v>408702199</v>
      </c>
      <c r="D2174">
        <v>885579</v>
      </c>
    </row>
    <row r="2175" spans="1:4" x14ac:dyDescent="0.25">
      <c r="A2175" t="str">
        <f>T("   720837")</f>
        <v xml:space="preserve">   720837</v>
      </c>
      <c r="B2175" t="str">
        <f>T("   PRODUITS LAMINÉS PLATS, EN FER OU EN ACIERS NON ALLIÉS, D'UNE LARGEUR &gt;= 600 MM, ENROULÉS, SIMPLEMENT LAMINÉS À CHAUD, NON PLAQUÉS NI REVÊTUS, ÉPAISSEUR &gt;= 4,75 MM MAIS &lt;= 10 MM (SANS MOTIFS EN RELIEF, ET AUTRES QUE DÉCAPÉS)")</f>
        <v xml:space="preserve">   PRODUITS LAMINÉS PLATS, EN FER OU EN ACIERS NON ALLIÉS, D'UNE LARGEUR &gt;= 600 MM, ENROULÉS, SIMPLEMENT LAMINÉS À CHAUD, NON PLAQUÉS NI REVÊTUS, ÉPAISSEUR &gt;= 4,75 MM MAIS &lt;= 10 MM (SANS MOTIFS EN RELIEF, ET AUTRES QUE DÉCAPÉS)</v>
      </c>
      <c r="C2175">
        <v>199595065</v>
      </c>
      <c r="D2175">
        <v>166930</v>
      </c>
    </row>
    <row r="2176" spans="1:4" x14ac:dyDescent="0.25">
      <c r="A2176" t="str">
        <f>T("   720890")</f>
        <v xml:space="preserve">   720890</v>
      </c>
      <c r="B2176"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2176">
        <v>39675424</v>
      </c>
      <c r="D2176">
        <v>54000</v>
      </c>
    </row>
    <row r="2177" spans="1:4" x14ac:dyDescent="0.25">
      <c r="A2177" t="str">
        <f>T("   721041")</f>
        <v xml:space="preserve">   721041</v>
      </c>
      <c r="B2177"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2177">
        <v>1255891580</v>
      </c>
      <c r="D2177">
        <v>5713640</v>
      </c>
    </row>
    <row r="2178" spans="1:4" x14ac:dyDescent="0.25">
      <c r="A2178" t="str">
        <f>T("   721049")</f>
        <v xml:space="preserve">   721049</v>
      </c>
      <c r="B217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178">
        <v>9470750</v>
      </c>
      <c r="D2178">
        <v>34021</v>
      </c>
    </row>
    <row r="2179" spans="1:4" x14ac:dyDescent="0.25">
      <c r="A2179" t="str">
        <f>T("   721070")</f>
        <v xml:space="preserve">   721070</v>
      </c>
      <c r="B2179"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2179">
        <v>6593894</v>
      </c>
      <c r="D2179">
        <v>10602</v>
      </c>
    </row>
    <row r="2180" spans="1:4" x14ac:dyDescent="0.25">
      <c r="A2180" t="str">
        <f>T("   721391")</f>
        <v xml:space="preserve">   721391</v>
      </c>
      <c r="B2180"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2180">
        <v>5293977692</v>
      </c>
      <c r="D2180">
        <v>17793782</v>
      </c>
    </row>
    <row r="2181" spans="1:4" x14ac:dyDescent="0.25">
      <c r="A2181" t="str">
        <f>T("   721399")</f>
        <v xml:space="preserve">   721399</v>
      </c>
      <c r="B2181" t="s">
        <v>365</v>
      </c>
      <c r="C2181">
        <v>23749925</v>
      </c>
      <c r="D2181">
        <v>103334</v>
      </c>
    </row>
    <row r="2182" spans="1:4" x14ac:dyDescent="0.25">
      <c r="A2182" t="str">
        <f>T("   721499")</f>
        <v xml:space="preserve">   721499</v>
      </c>
      <c r="B2182" t="s">
        <v>367</v>
      </c>
      <c r="C2182">
        <v>10000000</v>
      </c>
      <c r="D2182">
        <v>40000</v>
      </c>
    </row>
    <row r="2183" spans="1:4" x14ac:dyDescent="0.25">
      <c r="A2183" t="str">
        <f>T("   721621")</f>
        <v xml:space="preserve">   721621</v>
      </c>
      <c r="B2183" t="str">
        <f>T("   PROFILÉS EN L EN FER OU ACIERS NON ALLIÉS, SIMPLEMENT LAMINÉS OU FILÉS À CHAUD, HAUTEUR &lt; 80 MM")</f>
        <v xml:space="preserve">   PROFILÉS EN L EN FER OU ACIERS NON ALLIÉS, SIMPLEMENT LAMINÉS OU FILÉS À CHAUD, HAUTEUR &lt; 80 MM</v>
      </c>
      <c r="C2183">
        <v>8925648</v>
      </c>
      <c r="D2183">
        <v>16561</v>
      </c>
    </row>
    <row r="2184" spans="1:4" x14ac:dyDescent="0.25">
      <c r="A2184" t="str">
        <f>T("   721631")</f>
        <v xml:space="preserve">   721631</v>
      </c>
      <c r="B2184" t="str">
        <f>T("   PROFILÉS EN U, EN FER OU EN ACIERS NON-ALLIÉS, SIMPL. LAMINÉS OU FILÉS À CHAUD, D'UNE HAUTEUR &gt;= 80 MM")</f>
        <v xml:space="preserve">   PROFILÉS EN U, EN FER OU EN ACIERS NON-ALLIÉS, SIMPL. LAMINÉS OU FILÉS À CHAUD, D'UNE HAUTEUR &gt;= 80 MM</v>
      </c>
      <c r="C2184">
        <v>16812911</v>
      </c>
      <c r="D2184">
        <v>31196</v>
      </c>
    </row>
    <row r="2185" spans="1:4" x14ac:dyDescent="0.25">
      <c r="A2185" t="str">
        <f>T("   721650")</f>
        <v xml:space="preserve">   721650</v>
      </c>
      <c r="B2185"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2185">
        <v>27307484</v>
      </c>
      <c r="D2185">
        <v>224155</v>
      </c>
    </row>
    <row r="2186" spans="1:4" x14ac:dyDescent="0.25">
      <c r="A2186" t="str">
        <f>T("   721669")</f>
        <v xml:space="preserve">   721669</v>
      </c>
      <c r="B2186"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2186">
        <v>7647683</v>
      </c>
      <c r="D2186">
        <v>75000</v>
      </c>
    </row>
    <row r="2187" spans="1:4" x14ac:dyDescent="0.25">
      <c r="A2187" t="str">
        <f>T("   721699")</f>
        <v xml:space="preserve">   721699</v>
      </c>
      <c r="B2187" t="s">
        <v>368</v>
      </c>
      <c r="C2187">
        <v>35120539</v>
      </c>
      <c r="D2187">
        <v>164577</v>
      </c>
    </row>
    <row r="2188" spans="1:4" x14ac:dyDescent="0.25">
      <c r="A2188" t="str">
        <f>T("   721790")</f>
        <v xml:space="preserve">   721790</v>
      </c>
      <c r="B218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188">
        <v>34886463</v>
      </c>
      <c r="D2188">
        <v>174760</v>
      </c>
    </row>
    <row r="2189" spans="1:4" x14ac:dyDescent="0.25">
      <c r="A2189" t="str">
        <f>T("   721899")</f>
        <v xml:space="preserve">   721899</v>
      </c>
      <c r="B2189" t="str">
        <f>T("   Demi-produits en aciers inoxydables (autres que de section transversale rectangulaire)")</f>
        <v xml:space="preserve">   Demi-produits en aciers inoxydables (autres que de section transversale rectangulaire)</v>
      </c>
      <c r="C2189">
        <v>2999285921</v>
      </c>
      <c r="D2189">
        <v>4085713</v>
      </c>
    </row>
    <row r="2190" spans="1:4" x14ac:dyDescent="0.25">
      <c r="A2190" t="str">
        <f>T("   721990")</f>
        <v xml:space="preserve">   721990</v>
      </c>
      <c r="B2190"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2190">
        <v>120838437</v>
      </c>
      <c r="D2190">
        <v>38894</v>
      </c>
    </row>
    <row r="2191" spans="1:4" x14ac:dyDescent="0.25">
      <c r="A2191" t="str">
        <f>T("   722300")</f>
        <v xml:space="preserve">   722300</v>
      </c>
      <c r="B2191" t="str">
        <f>T("   Fils en aciers inoxydables, en couronnes ou rouleaux (autres que fil machine)")</f>
        <v xml:space="preserve">   Fils en aciers inoxydables, en couronnes ou rouleaux (autres que fil machine)</v>
      </c>
      <c r="C2191">
        <v>11809427</v>
      </c>
      <c r="D2191">
        <v>70272</v>
      </c>
    </row>
    <row r="2192" spans="1:4" x14ac:dyDescent="0.25">
      <c r="A2192" t="str">
        <f>T("   722540")</f>
        <v xml:space="preserve">   722540</v>
      </c>
      <c r="B2192"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2192">
        <v>23276000</v>
      </c>
      <c r="D2192">
        <v>18138</v>
      </c>
    </row>
    <row r="2193" spans="1:4" x14ac:dyDescent="0.25">
      <c r="A2193" t="str">
        <f>T("   722692")</f>
        <v xml:space="preserve">   722692</v>
      </c>
      <c r="B2193" t="str">
        <f>T("   Produits laminés plats en aciers alliés autres qu'aciers inoxydables, largeur &lt; 600 mm, simplement laminés à froid (sauf en aciers à coupe rapide ou aciers au silicium dits -magnétiques-)")</f>
        <v xml:space="preserve">   Produits laminés plats en aciers alliés autres qu'aciers inoxydables, largeur &lt; 600 mm, simplement laminés à froid (sauf en aciers à coupe rapide ou aciers au silicium dits -magnétiques-)</v>
      </c>
      <c r="C2193">
        <v>16595788</v>
      </c>
      <c r="D2193">
        <v>30793</v>
      </c>
    </row>
    <row r="2194" spans="1:4" x14ac:dyDescent="0.25">
      <c r="A2194" t="str">
        <f>T("   722990")</f>
        <v xml:space="preserve">   722990</v>
      </c>
      <c r="B2194" t="str">
        <f>T("   FILS EN ACIERS ALLIÉS AUTRES QU'ACIERS INOXYDABLES, EN COURONNES OU EN ROULEAUX (SAUF FIL MACHINE ET FIL EN ACIERS SILICOMANGANEUX)")</f>
        <v xml:space="preserve">   FILS EN ACIERS ALLIÉS AUTRES QU'ACIERS INOXYDABLES, EN COURONNES OU EN ROULEAUX (SAUF FIL MACHINE ET FIL EN ACIERS SILICOMANGANEUX)</v>
      </c>
      <c r="C2194">
        <v>10409859</v>
      </c>
      <c r="D2194">
        <v>26000</v>
      </c>
    </row>
    <row r="2195" spans="1:4" x14ac:dyDescent="0.25">
      <c r="A2195" t="str">
        <f>T("   730210")</f>
        <v xml:space="preserve">   730210</v>
      </c>
      <c r="B2195" t="str">
        <f>T("   Rails en fonte, fer ou acier pour voies ferrées ( à l'excl. des contre-rails)")</f>
        <v xml:space="preserve">   Rails en fonte, fer ou acier pour voies ferrées ( à l'excl. des contre-rails)</v>
      </c>
      <c r="C2195">
        <v>198331474</v>
      </c>
      <c r="D2195">
        <v>130707</v>
      </c>
    </row>
    <row r="2196" spans="1:4" x14ac:dyDescent="0.25">
      <c r="A2196" t="str">
        <f>T("   730300")</f>
        <v xml:space="preserve">   730300</v>
      </c>
      <c r="B2196" t="str">
        <f>T("   Tubes, tuyaux et profilés creux, en fonte")</f>
        <v xml:space="preserve">   Tubes, tuyaux et profilés creux, en fonte</v>
      </c>
      <c r="C2196">
        <v>2163356</v>
      </c>
      <c r="D2196">
        <v>4467</v>
      </c>
    </row>
    <row r="2197" spans="1:4" x14ac:dyDescent="0.25">
      <c r="A2197" t="str">
        <f>T("   730429")</f>
        <v xml:space="preserve">   730429</v>
      </c>
      <c r="B2197"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2197">
        <v>1030669029</v>
      </c>
      <c r="D2197">
        <v>1221745</v>
      </c>
    </row>
    <row r="2198" spans="1:4" x14ac:dyDescent="0.25">
      <c r="A2198" t="str">
        <f>T("   730441")</f>
        <v xml:space="preserve">   730441</v>
      </c>
      <c r="B2198" t="str">
        <f>T("   Tubes, tuyaux et profilés creux, sans soudure, de section circulaire, en aciers inoxydables, étirés ou laminés à froid (sauf tubes des types utilisés pour les oléoducs ou les gazoducs ou pour l'extraction du pétrole ou du gaz)")</f>
        <v xml:space="preserve">   Tubes, tuyaux et profilés creux, sans soudure, de section circulaire, en aciers inoxydables, étirés ou laminés à froid (sauf tubes des types utilisés pour les oléoducs ou les gazoducs ou pour l'extraction du pétrole ou du gaz)</v>
      </c>
      <c r="C2198">
        <v>202049742</v>
      </c>
      <c r="D2198">
        <v>14898</v>
      </c>
    </row>
    <row r="2199" spans="1:4" x14ac:dyDescent="0.25">
      <c r="A2199" t="str">
        <f>T("   730451")</f>
        <v xml:space="preserve">   730451</v>
      </c>
      <c r="B2199" t="str">
        <f>T("   Tubes, tuyaux et profilés creux, sans soudure, de section circulaire, en aciers alliés autres qu'inoxydables, étirés ou laminés à froid (autres que tubes des types utilisés pour les oléoducs ou les gazoducs ou pour l'extraction du pétrole ou du gaz)")</f>
        <v xml:space="preserve">   Tubes, tuyaux et profilés creux, sans soudure, de section circulaire, en aciers alliés autres qu'inoxydables, étirés ou laminés à froid (autres que tubes des types utilisés pour les oléoducs ou les gazoducs ou pour l'extraction du pétrole ou du gaz)</v>
      </c>
      <c r="C2199">
        <v>3872132</v>
      </c>
      <c r="D2199">
        <v>7185</v>
      </c>
    </row>
    <row r="2200" spans="1:4" x14ac:dyDescent="0.25">
      <c r="A2200" t="str">
        <f>T("   730490")</f>
        <v xml:space="preserve">   730490</v>
      </c>
      <c r="B2200" t="str">
        <f>T("   Tubes, tuyaux et profilés creux, sans soudure, de section autre que circulaire, en fer (à l'excl. de la fonte) ou en acier")</f>
        <v xml:space="preserve">   Tubes, tuyaux et profilés creux, sans soudure, de section autre que circulaire, en fer (à l'excl. de la fonte) ou en acier</v>
      </c>
      <c r="C2200">
        <v>171448379</v>
      </c>
      <c r="D2200">
        <v>1284263</v>
      </c>
    </row>
    <row r="2201" spans="1:4" x14ac:dyDescent="0.25">
      <c r="A2201" t="str">
        <f>T("   730531")</f>
        <v xml:space="preserve">   730531</v>
      </c>
      <c r="B2201" t="str">
        <f>T("   Tubes et tuyaux, de section circulaire, d'un diamètre extérieur &gt; 406,4 mm, en fer ou en acier, soudés longitudinalement (sauf tubes et tuyaux des types utilisés pour les oléoducs ou gazoducs ou pour l'extraction de pétrole ou de gaz)")</f>
        <v xml:space="preserve">   Tubes et tuyaux, de section circulaire, d'un diamètre extérieur &gt; 406,4 mm, en fer ou en acier, soudés longitudinalement (sauf tubes et tuyaux des types utilisés pour les oléoducs ou gazoducs ou pour l'extraction de pétrole ou de gaz)</v>
      </c>
      <c r="C2201">
        <v>5232000</v>
      </c>
      <c r="D2201">
        <v>34000</v>
      </c>
    </row>
    <row r="2202" spans="1:4" x14ac:dyDescent="0.25">
      <c r="A2202" t="str">
        <f>T("   730590")</f>
        <v xml:space="preserve">   730590</v>
      </c>
      <c r="B2202"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2202">
        <v>3971838</v>
      </c>
      <c r="D2202">
        <v>7369</v>
      </c>
    </row>
    <row r="2203" spans="1:4" x14ac:dyDescent="0.25">
      <c r="A2203" t="str">
        <f>T("   730630")</f>
        <v xml:space="preserve">   730630</v>
      </c>
      <c r="B2203" t="s">
        <v>372</v>
      </c>
      <c r="C2203">
        <v>45593361</v>
      </c>
      <c r="D2203">
        <v>138814</v>
      </c>
    </row>
    <row r="2204" spans="1:4" x14ac:dyDescent="0.25">
      <c r="A2204" t="str">
        <f>T("   730640")</f>
        <v xml:space="preserve">   730640</v>
      </c>
      <c r="B2204" t="s">
        <v>373</v>
      </c>
      <c r="C2204">
        <v>21846030</v>
      </c>
      <c r="D2204">
        <v>100000</v>
      </c>
    </row>
    <row r="2205" spans="1:4" x14ac:dyDescent="0.25">
      <c r="A2205" t="str">
        <f>T("   730690")</f>
        <v xml:space="preserve">   730690</v>
      </c>
      <c r="B2205"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2205">
        <v>793740303</v>
      </c>
      <c r="D2205">
        <v>691045</v>
      </c>
    </row>
    <row r="2206" spans="1:4" x14ac:dyDescent="0.25">
      <c r="A2206" t="str">
        <f>T("   730719")</f>
        <v xml:space="preserve">   730719</v>
      </c>
      <c r="B2206" t="str">
        <f>T("   Accessoires de tuyauterie moulés en fonte, fer ou acier (sauf fonte non-malléable)")</f>
        <v xml:space="preserve">   Accessoires de tuyauterie moulés en fonte, fer ou acier (sauf fonte non-malléable)</v>
      </c>
      <c r="C2206">
        <v>976187</v>
      </c>
      <c r="D2206">
        <v>40</v>
      </c>
    </row>
    <row r="2207" spans="1:4" x14ac:dyDescent="0.25">
      <c r="A2207" t="str">
        <f>T("   730820")</f>
        <v xml:space="preserve">   730820</v>
      </c>
      <c r="B2207" t="str">
        <f>T("   Tours et pylônes, en fer ou en acier")</f>
        <v xml:space="preserve">   Tours et pylônes, en fer ou en acier</v>
      </c>
      <c r="C2207">
        <v>378826541</v>
      </c>
      <c r="D2207">
        <v>361810</v>
      </c>
    </row>
    <row r="2208" spans="1:4" x14ac:dyDescent="0.25">
      <c r="A2208" t="str">
        <f>T("   730830")</f>
        <v xml:space="preserve">   730830</v>
      </c>
      <c r="B2208" t="str">
        <f>T("   Portes, fenêtres et leurs cadres et chambranles ainsi que leurs seuils, en fer ou en acier")</f>
        <v xml:space="preserve">   Portes, fenêtres et leurs cadres et chambranles ainsi que leurs seuils, en fer ou en acier</v>
      </c>
      <c r="C2208">
        <v>76553308</v>
      </c>
      <c r="D2208">
        <v>44628</v>
      </c>
    </row>
    <row r="2209" spans="1:4" x14ac:dyDescent="0.25">
      <c r="A2209" t="str">
        <f>T("   730840")</f>
        <v xml:space="preserve">   730840</v>
      </c>
      <c r="B2209"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2209">
        <v>18136218</v>
      </c>
      <c r="D2209">
        <v>19626</v>
      </c>
    </row>
    <row r="2210" spans="1:4" x14ac:dyDescent="0.25">
      <c r="A2210" t="str">
        <f>T("   730890")</f>
        <v xml:space="preserve">   730890</v>
      </c>
      <c r="B2210" t="s">
        <v>376</v>
      </c>
      <c r="C2210">
        <v>11133046281</v>
      </c>
      <c r="D2210">
        <v>11223748</v>
      </c>
    </row>
    <row r="2211" spans="1:4" x14ac:dyDescent="0.25">
      <c r="A2211" t="str">
        <f>T("   730900")</f>
        <v xml:space="preserve">   730900</v>
      </c>
      <c r="B2211" t="s">
        <v>377</v>
      </c>
      <c r="C2211">
        <v>2004781297</v>
      </c>
      <c r="D2211">
        <v>2387956</v>
      </c>
    </row>
    <row r="2212" spans="1:4" x14ac:dyDescent="0.25">
      <c r="A2212" t="str">
        <f>T("   731010")</f>
        <v xml:space="preserve">   731010</v>
      </c>
      <c r="B2212"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2212">
        <v>247246</v>
      </c>
      <c r="D2212">
        <v>38</v>
      </c>
    </row>
    <row r="2213" spans="1:4" x14ac:dyDescent="0.25">
      <c r="A2213" t="str">
        <f>T("   731021")</f>
        <v xml:space="preserve">   731021</v>
      </c>
      <c r="B2213"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2213">
        <v>92062089</v>
      </c>
      <c r="D2213">
        <v>253150</v>
      </c>
    </row>
    <row r="2214" spans="1:4" x14ac:dyDescent="0.25">
      <c r="A2214" t="str">
        <f>T("   731029")</f>
        <v xml:space="preserve">   731029</v>
      </c>
      <c r="B2214"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2214">
        <v>975659</v>
      </c>
      <c r="D2214">
        <v>1600</v>
      </c>
    </row>
    <row r="2215" spans="1:4" x14ac:dyDescent="0.25">
      <c r="A2215" t="str">
        <f>T("   731100")</f>
        <v xml:space="preserve">   731100</v>
      </c>
      <c r="B221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2215">
        <v>35506289</v>
      </c>
      <c r="D2215">
        <v>34231</v>
      </c>
    </row>
    <row r="2216" spans="1:4" x14ac:dyDescent="0.25">
      <c r="A2216" t="str">
        <f>T("   731210")</f>
        <v xml:space="preserve">   731210</v>
      </c>
      <c r="B2216"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2216">
        <v>293870</v>
      </c>
      <c r="D2216">
        <v>2438</v>
      </c>
    </row>
    <row r="2217" spans="1:4" x14ac:dyDescent="0.25">
      <c r="A2217" t="str">
        <f>T("   731419")</f>
        <v xml:space="preserve">   731419</v>
      </c>
      <c r="B2217" t="s">
        <v>378</v>
      </c>
      <c r="C2217">
        <v>3708029</v>
      </c>
      <c r="D2217">
        <v>24014</v>
      </c>
    </row>
    <row r="2218" spans="1:4" x14ac:dyDescent="0.25">
      <c r="A2218" t="str">
        <f>T("   731420")</f>
        <v xml:space="preserve">   731420</v>
      </c>
      <c r="B2218"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2218">
        <v>1677465</v>
      </c>
      <c r="D2218">
        <v>29853</v>
      </c>
    </row>
    <row r="2219" spans="1:4" x14ac:dyDescent="0.25">
      <c r="A2219" t="str">
        <f>T("   731439")</f>
        <v xml:space="preserve">   731439</v>
      </c>
      <c r="B2219"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2219">
        <v>8381024</v>
      </c>
      <c r="D2219">
        <v>28311</v>
      </c>
    </row>
    <row r="2220" spans="1:4" x14ac:dyDescent="0.25">
      <c r="A2220" t="str">
        <f>T("   731442")</f>
        <v xml:space="preserve">   731442</v>
      </c>
      <c r="B2220" t="str">
        <f>T("   GRILLAGES ET TREILLIS, EN FILS DE FER OU D'ACIER, NON-SOUDÉS AUX POINTS DE RENCONTRE, RECOUVERTS DE MATIÈRES PLASTIQUES")</f>
        <v xml:space="preserve">   GRILLAGES ET TREILLIS, EN FILS DE FER OU D'ACIER, NON-SOUDÉS AUX POINTS DE RENCONTRE, RECOUVERTS DE MATIÈRES PLASTIQUES</v>
      </c>
      <c r="C2220">
        <v>3277832</v>
      </c>
      <c r="D2220">
        <v>10000</v>
      </c>
    </row>
    <row r="2221" spans="1:4" x14ac:dyDescent="0.25">
      <c r="A2221" t="str">
        <f>T("   731449")</f>
        <v xml:space="preserve">   731449</v>
      </c>
      <c r="B2221"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2221">
        <v>19905795</v>
      </c>
      <c r="D2221">
        <v>74960</v>
      </c>
    </row>
    <row r="2222" spans="1:4" x14ac:dyDescent="0.25">
      <c r="A2222" t="str">
        <f>T("   731450")</f>
        <v xml:space="preserve">   731450</v>
      </c>
      <c r="B2222" t="str">
        <f>T("   Tôles et bandes déployées en fer ou en acier")</f>
        <v xml:space="preserve">   Tôles et bandes déployées en fer ou en acier</v>
      </c>
      <c r="C2222">
        <v>170282474</v>
      </c>
      <c r="D2222">
        <v>194405</v>
      </c>
    </row>
    <row r="2223" spans="1:4" x14ac:dyDescent="0.25">
      <c r="A2223" t="str">
        <f>T("   731700")</f>
        <v xml:space="preserve">   731700</v>
      </c>
      <c r="B2223"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2223">
        <v>135849186</v>
      </c>
      <c r="D2223">
        <v>794768</v>
      </c>
    </row>
    <row r="2224" spans="1:4" x14ac:dyDescent="0.25">
      <c r="A2224" t="str">
        <f>T("   731811")</f>
        <v xml:space="preserve">   731811</v>
      </c>
      <c r="B2224" t="str">
        <f>T("   Tire-fond en fonte, fer ou acier")</f>
        <v xml:space="preserve">   Tire-fond en fonte, fer ou acier</v>
      </c>
      <c r="C2224">
        <v>3495611</v>
      </c>
      <c r="D2224">
        <v>26000</v>
      </c>
    </row>
    <row r="2225" spans="1:4" x14ac:dyDescent="0.25">
      <c r="A2225" t="str">
        <f>T("   731815")</f>
        <v xml:space="preserve">   731815</v>
      </c>
      <c r="B2225" t="s">
        <v>380</v>
      </c>
      <c r="C2225">
        <v>12780521</v>
      </c>
      <c r="D2225">
        <v>26922</v>
      </c>
    </row>
    <row r="2226" spans="1:4" x14ac:dyDescent="0.25">
      <c r="A2226" t="str">
        <f>T("   731819")</f>
        <v xml:space="preserve">   731819</v>
      </c>
      <c r="B2226" t="str">
        <f>T("   Articles de boulonnerie et de visserie, filetés, en fonte, fer ou acier, n.d.a.")</f>
        <v xml:space="preserve">   Articles de boulonnerie et de visserie, filetés, en fonte, fer ou acier, n.d.a.</v>
      </c>
      <c r="C2226">
        <v>43981343</v>
      </c>
      <c r="D2226">
        <v>35218</v>
      </c>
    </row>
    <row r="2227" spans="1:4" x14ac:dyDescent="0.25">
      <c r="A2227" t="str">
        <f>T("   731829")</f>
        <v xml:space="preserve">   731829</v>
      </c>
      <c r="B2227" t="str">
        <f>T("   Articles de boulonnerie et de visserie non filetés, en fonte, fer ou acier, n.d.a.")</f>
        <v xml:space="preserve">   Articles de boulonnerie et de visserie non filetés, en fonte, fer ou acier, n.d.a.</v>
      </c>
      <c r="C2227">
        <v>2693120</v>
      </c>
      <c r="D2227">
        <v>2532</v>
      </c>
    </row>
    <row r="2228" spans="1:4" x14ac:dyDescent="0.25">
      <c r="A2228" t="str">
        <f>T("   731930")</f>
        <v xml:space="preserve">   731930</v>
      </c>
      <c r="B2228" t="str">
        <f>T("   Autres épingles en fer ou en acier, n.d.a.")</f>
        <v xml:space="preserve">   Autres épingles en fer ou en acier, n.d.a.</v>
      </c>
      <c r="C2228">
        <v>4186775</v>
      </c>
      <c r="D2228">
        <v>8133</v>
      </c>
    </row>
    <row r="2229" spans="1:4" x14ac:dyDescent="0.25">
      <c r="A2229" t="str">
        <f>T("   731990")</f>
        <v xml:space="preserve">   731990</v>
      </c>
      <c r="B2229" t="str">
        <f>T("   AIGUILLES À TRICOTER, PASSE-LACETS, CROCHETS, POINÇONS À BRODER ET ARTICLES SIMIL., POUR USAGE À LA MAIN, EN FER OU EN ACIER")</f>
        <v xml:space="preserve">   AIGUILLES À TRICOTER, PASSE-LACETS, CROCHETS, POINÇONS À BRODER ET ARTICLES SIMIL., POUR USAGE À LA MAIN, EN FER OU EN ACIER</v>
      </c>
      <c r="C2229">
        <v>1047187</v>
      </c>
      <c r="D2229">
        <v>2380</v>
      </c>
    </row>
    <row r="2230" spans="1:4" x14ac:dyDescent="0.25">
      <c r="A2230" t="str">
        <f>T("   732111")</f>
        <v xml:space="preserve">   732111</v>
      </c>
      <c r="B2230" t="s">
        <v>382</v>
      </c>
      <c r="C2230">
        <v>24501697</v>
      </c>
      <c r="D2230">
        <v>26954</v>
      </c>
    </row>
    <row r="2231" spans="1:4" x14ac:dyDescent="0.25">
      <c r="A2231" t="str">
        <f>T("   732112")</f>
        <v xml:space="preserve">   732112</v>
      </c>
      <c r="B2231" t="s">
        <v>383</v>
      </c>
      <c r="C2231">
        <v>1424782</v>
      </c>
      <c r="D2231">
        <v>7087</v>
      </c>
    </row>
    <row r="2232" spans="1:4" x14ac:dyDescent="0.25">
      <c r="A2232" t="str">
        <f>T("   732181")</f>
        <v xml:space="preserve">   732181</v>
      </c>
      <c r="B2232" t="s">
        <v>384</v>
      </c>
      <c r="C2232">
        <v>30000</v>
      </c>
      <c r="D2232">
        <v>500</v>
      </c>
    </row>
    <row r="2233" spans="1:4" x14ac:dyDescent="0.25">
      <c r="A2233" t="str">
        <f>T("   732190")</f>
        <v xml:space="preserve">   732190</v>
      </c>
      <c r="B2233" t="str">
        <f>T("   Parties des appareils ménagers chauffants non-électriques du n° 7321, n.d.a.")</f>
        <v xml:space="preserve">   Parties des appareils ménagers chauffants non-électriques du n° 7321, n.d.a.</v>
      </c>
      <c r="C2233">
        <v>5604932</v>
      </c>
      <c r="D2233">
        <v>12871</v>
      </c>
    </row>
    <row r="2234" spans="1:4" x14ac:dyDescent="0.25">
      <c r="A2234" t="str">
        <f>T("   732310")</f>
        <v xml:space="preserve">   732310</v>
      </c>
      <c r="B2234"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2234">
        <v>9940000</v>
      </c>
      <c r="D2234">
        <v>35360</v>
      </c>
    </row>
    <row r="2235" spans="1:4" x14ac:dyDescent="0.25">
      <c r="A2235" t="str">
        <f>T("   732393")</f>
        <v xml:space="preserve">   732393</v>
      </c>
      <c r="B2235" t="s">
        <v>388</v>
      </c>
      <c r="C2235">
        <v>26706255</v>
      </c>
      <c r="D2235">
        <v>24465</v>
      </c>
    </row>
    <row r="2236" spans="1:4" x14ac:dyDescent="0.25">
      <c r="A2236" t="str">
        <f>T("   732394")</f>
        <v xml:space="preserve">   732394</v>
      </c>
      <c r="B2236" t="s">
        <v>389</v>
      </c>
      <c r="C2236">
        <v>10730635</v>
      </c>
      <c r="D2236">
        <v>44833</v>
      </c>
    </row>
    <row r="2237" spans="1:4" x14ac:dyDescent="0.25">
      <c r="A2237" t="str">
        <f>T("   732399")</f>
        <v xml:space="preserve">   732399</v>
      </c>
      <c r="B2237" t="s">
        <v>390</v>
      </c>
      <c r="C2237">
        <v>343805867</v>
      </c>
      <c r="D2237">
        <v>1103043.7</v>
      </c>
    </row>
    <row r="2238" spans="1:4" x14ac:dyDescent="0.25">
      <c r="A2238" t="str">
        <f>T("   732410")</f>
        <v xml:space="preserve">   732410</v>
      </c>
      <c r="B2238" t="str">
        <f>T("   ÉVIERS ET LAVABOS EN ACIER INOXYDABLE")</f>
        <v xml:space="preserve">   ÉVIERS ET LAVABOS EN ACIER INOXYDABLE</v>
      </c>
      <c r="C2238">
        <v>17284632</v>
      </c>
      <c r="D2238">
        <v>39688</v>
      </c>
    </row>
    <row r="2239" spans="1:4" x14ac:dyDescent="0.25">
      <c r="A2239" t="str">
        <f>T("   732490")</f>
        <v xml:space="preserve">   732490</v>
      </c>
      <c r="B2239" t="s">
        <v>391</v>
      </c>
      <c r="C2239">
        <v>32736807</v>
      </c>
      <c r="D2239">
        <v>117165</v>
      </c>
    </row>
    <row r="2240" spans="1:4" x14ac:dyDescent="0.25">
      <c r="A2240" t="str">
        <f>T("   732599")</f>
        <v xml:space="preserve">   732599</v>
      </c>
      <c r="B2240"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2240">
        <v>24387936</v>
      </c>
      <c r="D2240">
        <v>6075</v>
      </c>
    </row>
    <row r="2241" spans="1:4" x14ac:dyDescent="0.25">
      <c r="A2241" t="str">
        <f>T("   732619")</f>
        <v xml:space="preserve">   732619</v>
      </c>
      <c r="B2241"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2241">
        <v>1222257</v>
      </c>
      <c r="D2241">
        <v>7610</v>
      </c>
    </row>
    <row r="2242" spans="1:4" x14ac:dyDescent="0.25">
      <c r="A2242" t="str">
        <f>T("   732620")</f>
        <v xml:space="preserve">   732620</v>
      </c>
      <c r="B2242" t="str">
        <f>T("   Ouvrages en fil de fer ou d'acier, n.d.a.")</f>
        <v xml:space="preserve">   Ouvrages en fil de fer ou d'acier, n.d.a.</v>
      </c>
      <c r="C2242">
        <v>73935519</v>
      </c>
      <c r="D2242">
        <v>120300</v>
      </c>
    </row>
    <row r="2243" spans="1:4" x14ac:dyDescent="0.25">
      <c r="A2243" t="str">
        <f>T("   732690")</f>
        <v xml:space="preserve">   732690</v>
      </c>
      <c r="B224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243">
        <v>597034234</v>
      </c>
      <c r="D2243">
        <v>729850</v>
      </c>
    </row>
    <row r="2244" spans="1:4" x14ac:dyDescent="0.25">
      <c r="A2244" t="str">
        <f>T("   741210")</f>
        <v xml:space="preserve">   741210</v>
      </c>
      <c r="B2244" t="str">
        <f>T("   Accessoires de tuyauterie -raccords, coudes, manchons, par exemple-, en cuivre affiné")</f>
        <v xml:space="preserve">   Accessoires de tuyauterie -raccords, coudes, manchons, par exemple-, en cuivre affiné</v>
      </c>
      <c r="C2244">
        <v>1370956</v>
      </c>
      <c r="D2244">
        <v>2929</v>
      </c>
    </row>
    <row r="2245" spans="1:4" x14ac:dyDescent="0.25">
      <c r="A2245" t="str">
        <f>T("   741220")</f>
        <v xml:space="preserve">   741220</v>
      </c>
      <c r="B2245" t="str">
        <f>T("   Accessoires de tuyauterie -raccords, coudes, manchons, par exemple-, en alliages de cuivre")</f>
        <v xml:space="preserve">   Accessoires de tuyauterie -raccords, coudes, manchons, par exemple-, en alliages de cuivre</v>
      </c>
      <c r="C2245">
        <v>546000</v>
      </c>
      <c r="D2245">
        <v>2225</v>
      </c>
    </row>
    <row r="2246" spans="1:4" x14ac:dyDescent="0.25">
      <c r="A2246" t="str">
        <f>T("   741490")</f>
        <v xml:space="preserve">   741490</v>
      </c>
      <c r="B2246" t="str">
        <f>T("   Grillages et treillis, en fils de cuivre; toiles et bandes déployées, en cuivre (sauf grillages et treillis transformés en cribles ou tamis à main ou en pièces de machines)")</f>
        <v xml:space="preserve">   Grillages et treillis, en fils de cuivre; toiles et bandes déployées, en cuivre (sauf grillages et treillis transformés en cribles ou tamis à main ou en pièces de machines)</v>
      </c>
      <c r="C2246">
        <v>254172</v>
      </c>
      <c r="D2246">
        <v>98</v>
      </c>
    </row>
    <row r="2247" spans="1:4" x14ac:dyDescent="0.25">
      <c r="A2247" t="str">
        <f>T("   741510")</f>
        <v xml:space="preserve">   741510</v>
      </c>
      <c r="B2247"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2247">
        <v>22952203</v>
      </c>
      <c r="D2247">
        <v>170221</v>
      </c>
    </row>
    <row r="2248" spans="1:4" x14ac:dyDescent="0.25">
      <c r="A2248" t="str">
        <f>T("   741529")</f>
        <v xml:space="preserve">   741529</v>
      </c>
      <c r="B2248" t="str">
        <f>T("   Boulons, rivets, goupilles, chevilles, clavettes et simil., non filetés, en cuivre (sauf rondelles, y.c. -les rondelles destinées à faire ressort-)")</f>
        <v xml:space="preserve">   Boulons, rivets, goupilles, chevilles, clavettes et simil., non filetés, en cuivre (sauf rondelles, y.c. -les rondelles destinées à faire ressort-)</v>
      </c>
      <c r="C2248">
        <v>12000000</v>
      </c>
      <c r="D2248">
        <v>89360</v>
      </c>
    </row>
    <row r="2249" spans="1:4" x14ac:dyDescent="0.25">
      <c r="A2249" t="str">
        <f>T("   741811")</f>
        <v xml:space="preserve">   741811</v>
      </c>
      <c r="B2249" t="str">
        <f>T("   Eponges, torchons, gants et articles simil. pour le récurage, le polissage et usages analogues, en cuivre (à l'excl. des articles d'hygiène et de toilette)")</f>
        <v xml:space="preserve">   Eponges, torchons, gants et articles simil. pour le récurage, le polissage et usages analogues, en cuivre (à l'excl. des articles d'hygiène et de toilette)</v>
      </c>
      <c r="C2249">
        <v>5175272</v>
      </c>
      <c r="D2249">
        <v>35050</v>
      </c>
    </row>
    <row r="2250" spans="1:4" x14ac:dyDescent="0.25">
      <c r="A2250" t="str">
        <f>T("   760120")</f>
        <v xml:space="preserve">   760120</v>
      </c>
      <c r="B2250" t="str">
        <f>T("   Alliages d'aluminium, sous forme brute")</f>
        <v xml:space="preserve">   Alliages d'aluminium, sous forme brute</v>
      </c>
      <c r="C2250">
        <v>2000000</v>
      </c>
      <c r="D2250">
        <v>7467</v>
      </c>
    </row>
    <row r="2251" spans="1:4" x14ac:dyDescent="0.25">
      <c r="A2251" t="str">
        <f>T("   760410")</f>
        <v xml:space="preserve">   760410</v>
      </c>
      <c r="B2251" t="str">
        <f>T("   BARRES ET PROFILÉS EN ALUMINIUM NON-ALLIÉ, N.D.A.")</f>
        <v xml:space="preserve">   BARRES ET PROFILÉS EN ALUMINIUM NON-ALLIÉ, N.D.A.</v>
      </c>
      <c r="C2251">
        <v>26555166</v>
      </c>
      <c r="D2251">
        <v>42000</v>
      </c>
    </row>
    <row r="2252" spans="1:4" x14ac:dyDescent="0.25">
      <c r="A2252" t="str">
        <f>T("   760421")</f>
        <v xml:space="preserve">   760421</v>
      </c>
      <c r="B2252" t="str">
        <f>T("   Profilés creux en alliages d'aluminium, n.d.a.")</f>
        <v xml:space="preserve">   Profilés creux en alliages d'aluminium, n.d.a.</v>
      </c>
      <c r="C2252">
        <v>30996770</v>
      </c>
      <c r="D2252">
        <v>81133</v>
      </c>
    </row>
    <row r="2253" spans="1:4" x14ac:dyDescent="0.25">
      <c r="A2253" t="str">
        <f>T("   760429")</f>
        <v xml:space="preserve">   760429</v>
      </c>
      <c r="B2253" t="str">
        <f>T("   Barres et profilés pleins en alliages d'aluminium, n.d.a.")</f>
        <v xml:space="preserve">   Barres et profilés pleins en alliages d'aluminium, n.d.a.</v>
      </c>
      <c r="C2253">
        <v>728102761</v>
      </c>
      <c r="D2253">
        <v>998145</v>
      </c>
    </row>
    <row r="2254" spans="1:4" x14ac:dyDescent="0.25">
      <c r="A2254" t="str">
        <f>T("   760611")</f>
        <v xml:space="preserve">   760611</v>
      </c>
      <c r="B2254"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2254">
        <v>13107592</v>
      </c>
      <c r="D2254">
        <v>54044</v>
      </c>
    </row>
    <row r="2255" spans="1:4" x14ac:dyDescent="0.25">
      <c r="A2255" t="str">
        <f>T("   760692")</f>
        <v xml:space="preserve">   760692</v>
      </c>
      <c r="B2255" t="str">
        <f>T("   Tôles et bandes en alliages d'aluminium, d'une épaisseur &gt; 0,2 mm, de forme autre que carrée ou rectangulaire")</f>
        <v xml:space="preserve">   Tôles et bandes en alliages d'aluminium, d'une épaisseur &gt; 0,2 mm, de forme autre que carrée ou rectangulaire</v>
      </c>
      <c r="C2255">
        <v>2218311</v>
      </c>
      <c r="D2255">
        <v>1142</v>
      </c>
    </row>
    <row r="2256" spans="1:4" x14ac:dyDescent="0.25">
      <c r="A2256" t="str">
        <f>T("   761010")</f>
        <v xml:space="preserve">   761010</v>
      </c>
      <c r="B2256" t="str">
        <f>T("   Portes, fenêtres et leurs cadres, chambranles et seuils, en aluminium (sauf pièces de garnissage)")</f>
        <v xml:space="preserve">   Portes, fenêtres et leurs cadres, chambranles et seuils, en aluminium (sauf pièces de garnissage)</v>
      </c>
      <c r="C2256">
        <v>235352399</v>
      </c>
      <c r="D2256">
        <v>181722</v>
      </c>
    </row>
    <row r="2257" spans="1:4" x14ac:dyDescent="0.25">
      <c r="A2257" t="str">
        <f>T("   761090")</f>
        <v xml:space="preserve">   761090</v>
      </c>
      <c r="B2257"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257">
        <v>45679056</v>
      </c>
      <c r="D2257">
        <v>153451</v>
      </c>
    </row>
    <row r="2258" spans="1:4" x14ac:dyDescent="0.25">
      <c r="A2258" t="str">
        <f>T("   761290")</f>
        <v xml:space="preserve">   761290</v>
      </c>
      <c r="B2258"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2258">
        <v>94459</v>
      </c>
      <c r="D2258">
        <v>471</v>
      </c>
    </row>
    <row r="2259" spans="1:4" x14ac:dyDescent="0.25">
      <c r="A2259" t="str">
        <f>T("   761511")</f>
        <v xml:space="preserve">   761511</v>
      </c>
      <c r="B2259"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2259">
        <v>305000</v>
      </c>
      <c r="D2259">
        <v>7250</v>
      </c>
    </row>
    <row r="2260" spans="1:4" x14ac:dyDescent="0.25">
      <c r="A2260" t="str">
        <f>T("   761519")</f>
        <v xml:space="preserve">   761519</v>
      </c>
      <c r="B2260" t="s">
        <v>397</v>
      </c>
      <c r="C2260">
        <v>101250636</v>
      </c>
      <c r="D2260">
        <v>472347</v>
      </c>
    </row>
    <row r="2261" spans="1:4" x14ac:dyDescent="0.25">
      <c r="A2261" t="str">
        <f>T("   761520")</f>
        <v xml:space="preserve">   761520</v>
      </c>
      <c r="B2261"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2261">
        <v>1679264</v>
      </c>
      <c r="D2261">
        <v>796</v>
      </c>
    </row>
    <row r="2262" spans="1:4" x14ac:dyDescent="0.25">
      <c r="A2262" t="str">
        <f>T("   761610")</f>
        <v xml:space="preserve">   761610</v>
      </c>
      <c r="B2262" t="s">
        <v>398</v>
      </c>
      <c r="C2262">
        <v>16293044</v>
      </c>
      <c r="D2262">
        <v>151120</v>
      </c>
    </row>
    <row r="2263" spans="1:4" x14ac:dyDescent="0.25">
      <c r="A2263" t="str">
        <f>T("   761699")</f>
        <v xml:space="preserve">   761699</v>
      </c>
      <c r="B2263" t="str">
        <f>T("   Ouvrages en aluminium, n.d.a.")</f>
        <v xml:space="preserve">   Ouvrages en aluminium, n.d.a.</v>
      </c>
      <c r="C2263">
        <v>26792434</v>
      </c>
      <c r="D2263">
        <v>128497</v>
      </c>
    </row>
    <row r="2264" spans="1:4" x14ac:dyDescent="0.25">
      <c r="A2264" t="str">
        <f>T("   780199")</f>
        <v xml:space="preserve">   780199</v>
      </c>
      <c r="B2264" t="str">
        <f>T("   Plomb sous forme brute (sauf plomb affiné et plomb contenant de l'antimoine comme autre élément prédominant en poids)")</f>
        <v xml:space="preserve">   Plomb sous forme brute (sauf plomb affiné et plomb contenant de l'antimoine comme autre élément prédominant en poids)</v>
      </c>
      <c r="C2264">
        <v>3500864</v>
      </c>
      <c r="D2264">
        <v>1185</v>
      </c>
    </row>
    <row r="2265" spans="1:4" x14ac:dyDescent="0.25">
      <c r="A2265" t="str">
        <f>T("   790700")</f>
        <v xml:space="preserve">   790700</v>
      </c>
      <c r="B2265" t="str">
        <f>T("   Ouvrages en zinc, n.d.a.")</f>
        <v xml:space="preserve">   Ouvrages en zinc, n.d.a.</v>
      </c>
      <c r="C2265">
        <v>4232910</v>
      </c>
      <c r="D2265">
        <v>8399</v>
      </c>
    </row>
    <row r="2266" spans="1:4" x14ac:dyDescent="0.25">
      <c r="A2266" t="str">
        <f>T("   820110")</f>
        <v xml:space="preserve">   820110</v>
      </c>
      <c r="B2266" t="str">
        <f>T("   Bêches et pelles, avec partie travaillante en métaux communs")</f>
        <v xml:space="preserve">   Bêches et pelles, avec partie travaillante en métaux communs</v>
      </c>
      <c r="C2266">
        <v>14382466</v>
      </c>
      <c r="D2266">
        <v>75377</v>
      </c>
    </row>
    <row r="2267" spans="1:4" x14ac:dyDescent="0.25">
      <c r="A2267" t="str">
        <f>T("   820190")</f>
        <v xml:space="preserve">   820190</v>
      </c>
      <c r="B2267" t="s">
        <v>399</v>
      </c>
      <c r="C2267">
        <v>9754192</v>
      </c>
      <c r="D2267">
        <v>46555</v>
      </c>
    </row>
    <row r="2268" spans="1:4" x14ac:dyDescent="0.25">
      <c r="A2268" t="str">
        <f>T("   820210")</f>
        <v xml:space="preserve">   820210</v>
      </c>
      <c r="B2268" t="str">
        <f>T("   Scies à main, avec partie travaillante en métaux communs (à l'excl. des tronçonneuses)")</f>
        <v xml:space="preserve">   Scies à main, avec partie travaillante en métaux communs (à l'excl. des tronçonneuses)</v>
      </c>
      <c r="C2268">
        <v>873884</v>
      </c>
      <c r="D2268">
        <v>4800</v>
      </c>
    </row>
    <row r="2269" spans="1:4" x14ac:dyDescent="0.25">
      <c r="A2269" t="str">
        <f>T("   820231")</f>
        <v xml:space="preserve">   820231</v>
      </c>
      <c r="B2269" t="str">
        <f>T("   Lames de scies circulaires, y.c. -les lames de fraises-scies- en métaux communs et avec partie travaillante en acier")</f>
        <v xml:space="preserve">   Lames de scies circulaires, y.c. -les lames de fraises-scies- en métaux communs et avec partie travaillante en acier</v>
      </c>
      <c r="C2269">
        <v>8299573</v>
      </c>
      <c r="D2269">
        <v>1568</v>
      </c>
    </row>
    <row r="2270" spans="1:4" x14ac:dyDescent="0.25">
      <c r="A2270" t="str">
        <f>T("   820299")</f>
        <v xml:space="preserve">   820299</v>
      </c>
      <c r="B2270" t="s">
        <v>400</v>
      </c>
      <c r="C2270">
        <v>300000</v>
      </c>
      <c r="D2270">
        <v>4999</v>
      </c>
    </row>
    <row r="2271" spans="1:4" x14ac:dyDescent="0.25">
      <c r="A2271" t="str">
        <f>T("   820320")</f>
        <v xml:space="preserve">   820320</v>
      </c>
      <c r="B2271" t="str">
        <f>T("   PINCES -MÊME COUPANTES-, TENAILLES, BRUCELLES À USAGE NON-MÉDICAL ET OUTILS SIMIL. À MAIN, EN MÉTAUX COMMUNS")</f>
        <v xml:space="preserve">   PINCES -MÊME COUPANTES-, TENAILLES, BRUCELLES À USAGE NON-MÉDICAL ET OUTILS SIMIL. À MAIN, EN MÉTAUX COMMUNS</v>
      </c>
      <c r="C2271">
        <v>5192908</v>
      </c>
      <c r="D2271">
        <v>10514</v>
      </c>
    </row>
    <row r="2272" spans="1:4" x14ac:dyDescent="0.25">
      <c r="A2272" t="str">
        <f>T("   820330")</f>
        <v xml:space="preserve">   820330</v>
      </c>
      <c r="B2272" t="str">
        <f>T("   Cisailles à métaux et outils simil., à main, en métaux communs")</f>
        <v xml:space="preserve">   Cisailles à métaux et outils simil., à main, en métaux communs</v>
      </c>
      <c r="C2272">
        <v>400106</v>
      </c>
      <c r="D2272">
        <v>68</v>
      </c>
    </row>
    <row r="2273" spans="1:4" x14ac:dyDescent="0.25">
      <c r="A2273" t="str">
        <f>T("   820412")</f>
        <v xml:space="preserve">   820412</v>
      </c>
      <c r="B2273" t="str">
        <f>T("   Clés de serrage à main, y.c. -les clés dynamométriques-, en métaux communs, à ouverture variable")</f>
        <v xml:space="preserve">   Clés de serrage à main, y.c. -les clés dynamométriques-, en métaux communs, à ouverture variable</v>
      </c>
      <c r="C2273">
        <v>1220343</v>
      </c>
      <c r="D2273">
        <v>182</v>
      </c>
    </row>
    <row r="2274" spans="1:4" x14ac:dyDescent="0.25">
      <c r="A2274" t="str">
        <f>T("   820420")</f>
        <v xml:space="preserve">   820420</v>
      </c>
      <c r="B2274" t="str">
        <f>T("   Douilles de serrage interchangeables, même avec manches, en métaux communs")</f>
        <v xml:space="preserve">   Douilles de serrage interchangeables, même avec manches, en métaux communs</v>
      </c>
      <c r="C2274">
        <v>5359285</v>
      </c>
      <c r="D2274">
        <v>200</v>
      </c>
    </row>
    <row r="2275" spans="1:4" x14ac:dyDescent="0.25">
      <c r="A2275" t="str">
        <f>T("   820520")</f>
        <v xml:space="preserve">   820520</v>
      </c>
      <c r="B2275" t="str">
        <f>T("   Marteaux et masses, avec partie travaillante en métaux communs")</f>
        <v xml:space="preserve">   Marteaux et masses, avec partie travaillante en métaux communs</v>
      </c>
      <c r="C2275">
        <v>1213526</v>
      </c>
      <c r="D2275">
        <v>2450</v>
      </c>
    </row>
    <row r="2276" spans="1:4" x14ac:dyDescent="0.25">
      <c r="A2276" t="str">
        <f>T("   820559")</f>
        <v xml:space="preserve">   820559</v>
      </c>
      <c r="B2276" t="str">
        <f>T("   Outils à main, y.c. -les diamants de vitrier-, en métaux communs, n.d.a.")</f>
        <v xml:space="preserve">   Outils à main, y.c. -les diamants de vitrier-, en métaux communs, n.d.a.</v>
      </c>
      <c r="C2276">
        <v>135856893</v>
      </c>
      <c r="D2276">
        <v>68085</v>
      </c>
    </row>
    <row r="2277" spans="1:4" x14ac:dyDescent="0.25">
      <c r="A2277" t="str">
        <f>T("   820590")</f>
        <v xml:space="preserve">   820590</v>
      </c>
      <c r="B2277" t="str">
        <f>T("   Assortiments d'outils d'au moins deux des sous-positions du n° 8205")</f>
        <v xml:space="preserve">   Assortiments d'outils d'au moins deux des sous-positions du n° 8205</v>
      </c>
      <c r="C2277">
        <v>2123048</v>
      </c>
      <c r="D2277">
        <v>2862</v>
      </c>
    </row>
    <row r="2278" spans="1:4" x14ac:dyDescent="0.25">
      <c r="A2278" t="str">
        <f>T("   820719")</f>
        <v xml:space="preserve">   820719</v>
      </c>
      <c r="B2278"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2278">
        <v>579215</v>
      </c>
      <c r="D2278">
        <v>100</v>
      </c>
    </row>
    <row r="2279" spans="1:4" x14ac:dyDescent="0.25">
      <c r="A2279" t="str">
        <f>T("   820780")</f>
        <v xml:space="preserve">   820780</v>
      </c>
      <c r="B2279" t="str">
        <f>T("   Outils interchangeables à tourner")</f>
        <v xml:space="preserve">   Outils interchangeables à tourner</v>
      </c>
      <c r="C2279">
        <v>1786737</v>
      </c>
      <c r="D2279">
        <v>133</v>
      </c>
    </row>
    <row r="2280" spans="1:4" x14ac:dyDescent="0.25">
      <c r="A2280" t="str">
        <f>T("   820820")</f>
        <v xml:space="preserve">   820820</v>
      </c>
      <c r="B2280" t="str">
        <f>T("   Couteaux et lames tranchantes, en métaux communs, pour machines ou pour appareils mécaniques, pour le travail du bois")</f>
        <v xml:space="preserve">   Couteaux et lames tranchantes, en métaux communs, pour machines ou pour appareils mécaniques, pour le travail du bois</v>
      </c>
      <c r="C2280">
        <v>35020735</v>
      </c>
      <c r="D2280">
        <v>19030</v>
      </c>
    </row>
    <row r="2281" spans="1:4" x14ac:dyDescent="0.25">
      <c r="A2281" t="str">
        <f>T("   821191")</f>
        <v xml:space="preserve">   821191</v>
      </c>
      <c r="B2281" t="str">
        <f>T("   Couteaux de table à lame fixe, en métaux communs, y.c. les manches (sauf couteaux à beurre et couteaux à poisson)")</f>
        <v xml:space="preserve">   Couteaux de table à lame fixe, en métaux communs, y.c. les manches (sauf couteaux à beurre et couteaux à poisson)</v>
      </c>
      <c r="C2281">
        <v>8513697</v>
      </c>
      <c r="D2281">
        <v>25283</v>
      </c>
    </row>
    <row r="2282" spans="1:4" x14ac:dyDescent="0.25">
      <c r="A2282" t="str">
        <f>T("   821192")</f>
        <v xml:space="preserve">   821192</v>
      </c>
      <c r="B2282" t="s">
        <v>403</v>
      </c>
      <c r="C2282">
        <v>3932480</v>
      </c>
      <c r="D2282">
        <v>20000</v>
      </c>
    </row>
    <row r="2283" spans="1:4" x14ac:dyDescent="0.25">
      <c r="A2283" t="str">
        <f>T("   821210")</f>
        <v xml:space="preserve">   821210</v>
      </c>
      <c r="B2283" t="str">
        <f>T("   Rasoirs et rasoirs de sûreté non-électriques, en métaux communs")</f>
        <v xml:space="preserve">   Rasoirs et rasoirs de sûreté non-électriques, en métaux communs</v>
      </c>
      <c r="C2283">
        <v>4259317</v>
      </c>
      <c r="D2283">
        <v>5595</v>
      </c>
    </row>
    <row r="2284" spans="1:4" x14ac:dyDescent="0.25">
      <c r="A2284" t="str">
        <f>T("   821300")</f>
        <v xml:space="preserve">   821300</v>
      </c>
      <c r="B2284"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2284">
        <v>1182729</v>
      </c>
      <c r="D2284">
        <v>2010</v>
      </c>
    </row>
    <row r="2285" spans="1:4" x14ac:dyDescent="0.25">
      <c r="A2285" t="str">
        <f>T("   821420")</f>
        <v xml:space="preserve">   821420</v>
      </c>
      <c r="B2285"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2285">
        <v>420722</v>
      </c>
      <c r="D2285">
        <v>126</v>
      </c>
    </row>
    <row r="2286" spans="1:4" x14ac:dyDescent="0.25">
      <c r="A2286" t="str">
        <f>T("   821490")</f>
        <v xml:space="preserve">   821490</v>
      </c>
      <c r="B2286" t="str">
        <f>T("   Tondeuses de coiffeur et autres articles à couper, n.d.a., en métaux communs")</f>
        <v xml:space="preserve">   Tondeuses de coiffeur et autres articles à couper, n.d.a., en métaux communs</v>
      </c>
      <c r="C2286">
        <v>8174848</v>
      </c>
      <c r="D2286">
        <v>29249</v>
      </c>
    </row>
    <row r="2287" spans="1:4" x14ac:dyDescent="0.25">
      <c r="A2287" t="str">
        <f>T("   821520")</f>
        <v xml:space="preserve">   821520</v>
      </c>
      <c r="B228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2287">
        <v>905855</v>
      </c>
      <c r="D2287">
        <v>2000</v>
      </c>
    </row>
    <row r="2288" spans="1:4" x14ac:dyDescent="0.25">
      <c r="A2288" t="str">
        <f>T("   821599")</f>
        <v xml:space="preserve">   821599</v>
      </c>
      <c r="B2288" t="s">
        <v>404</v>
      </c>
      <c r="C2288">
        <v>34621880</v>
      </c>
      <c r="D2288">
        <v>161209</v>
      </c>
    </row>
    <row r="2289" spans="1:4" x14ac:dyDescent="0.25">
      <c r="A2289" t="str">
        <f>T("   830110")</f>
        <v xml:space="preserve">   830110</v>
      </c>
      <c r="B2289" t="str">
        <f>T("   Cadenas, en métaux communs")</f>
        <v xml:space="preserve">   Cadenas, en métaux communs</v>
      </c>
      <c r="C2289">
        <v>34491192</v>
      </c>
      <c r="D2289">
        <v>140393</v>
      </c>
    </row>
    <row r="2290" spans="1:4" x14ac:dyDescent="0.25">
      <c r="A2290" t="str">
        <f>T("   830130")</f>
        <v xml:space="preserve">   830130</v>
      </c>
      <c r="B2290" t="str">
        <f>T("   Serrures des types utilisés pour meubles, en métaux communs")</f>
        <v xml:space="preserve">   Serrures des types utilisés pour meubles, en métaux communs</v>
      </c>
      <c r="C2290">
        <v>31977964</v>
      </c>
      <c r="D2290">
        <v>104965</v>
      </c>
    </row>
    <row r="2291" spans="1:4" x14ac:dyDescent="0.25">
      <c r="A2291" t="str">
        <f>T("   830140")</f>
        <v xml:space="preserve">   830140</v>
      </c>
      <c r="B229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2291">
        <v>246954268</v>
      </c>
      <c r="D2291">
        <v>1013740</v>
      </c>
    </row>
    <row r="2292" spans="1:4" x14ac:dyDescent="0.25">
      <c r="A2292" t="str">
        <f>T("   830160")</f>
        <v xml:space="preserve">   830160</v>
      </c>
      <c r="B2292" t="str">
        <f>T("   Parties des cadenas, serrures et verrous, ainsi que des fermoirs et montures-fermoirs, avec serrure, en métaux communs, n.d.a.")</f>
        <v xml:space="preserve">   Parties des cadenas, serrures et verrous, ainsi que des fermoirs et montures-fermoirs, avec serrure, en métaux communs, n.d.a.</v>
      </c>
      <c r="C2292">
        <v>3329318</v>
      </c>
      <c r="D2292">
        <v>15405</v>
      </c>
    </row>
    <row r="2293" spans="1:4" x14ac:dyDescent="0.25">
      <c r="A2293" t="str">
        <f>T("   830210")</f>
        <v xml:space="preserve">   830210</v>
      </c>
      <c r="B2293" t="str">
        <f>T("   Charnières de tous genres, y.c. les paumelles et pentures, en métaux communs")</f>
        <v xml:space="preserve">   Charnières de tous genres, y.c. les paumelles et pentures, en métaux communs</v>
      </c>
      <c r="C2293">
        <v>40044380</v>
      </c>
      <c r="D2293">
        <v>143504</v>
      </c>
    </row>
    <row r="2294" spans="1:4" x14ac:dyDescent="0.25">
      <c r="A2294" t="str">
        <f>T("   830230")</f>
        <v xml:space="preserve">   830230</v>
      </c>
      <c r="B2294" t="str">
        <f>T("   Garnitures, ferrures et simil. en métaux communs, pour véhicules automobiles (sauf charnières et serrures)")</f>
        <v xml:space="preserve">   Garnitures, ferrures et simil. en métaux communs, pour véhicules automobiles (sauf charnières et serrures)</v>
      </c>
      <c r="C2294">
        <v>1790410</v>
      </c>
      <c r="D2294">
        <v>439</v>
      </c>
    </row>
    <row r="2295" spans="1:4" x14ac:dyDescent="0.25">
      <c r="A2295" t="str">
        <f>T("   830241")</f>
        <v xml:space="preserve">   830241</v>
      </c>
      <c r="B2295"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2295">
        <v>3380971</v>
      </c>
      <c r="D2295">
        <v>15382</v>
      </c>
    </row>
    <row r="2296" spans="1:4" x14ac:dyDescent="0.25">
      <c r="A2296" t="str">
        <f>T("   830249")</f>
        <v xml:space="preserve">   830249</v>
      </c>
      <c r="B2296" t="s">
        <v>405</v>
      </c>
      <c r="C2296">
        <v>34170555</v>
      </c>
      <c r="D2296">
        <v>208046</v>
      </c>
    </row>
    <row r="2297" spans="1:4" x14ac:dyDescent="0.25">
      <c r="A2297" t="str">
        <f>T("   830260")</f>
        <v xml:space="preserve">   830260</v>
      </c>
      <c r="B2297" t="str">
        <f>T("   Ferme-portes automatiques en métaux communs")</f>
        <v xml:space="preserve">   Ferme-portes automatiques en métaux communs</v>
      </c>
      <c r="C2297">
        <v>95914</v>
      </c>
      <c r="D2297">
        <v>455</v>
      </c>
    </row>
    <row r="2298" spans="1:4" x14ac:dyDescent="0.25">
      <c r="A2298" t="str">
        <f>T("   830300")</f>
        <v xml:space="preserve">   830300</v>
      </c>
      <c r="B2298"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2298">
        <v>5989217</v>
      </c>
      <c r="D2298">
        <v>11645</v>
      </c>
    </row>
    <row r="2299" spans="1:4" x14ac:dyDescent="0.25">
      <c r="A2299" t="str">
        <f>T("   830630")</f>
        <v xml:space="preserve">   830630</v>
      </c>
      <c r="B2299" t="str">
        <f>T("   Cadres pour photographies, gravures ou simil., en métaux communs; miroirs, en métaux communs (sauf éléments optiques)")</f>
        <v xml:space="preserve">   Cadres pour photographies, gravures ou simil., en métaux communs; miroirs, en métaux communs (sauf éléments optiques)</v>
      </c>
      <c r="C2299">
        <v>5129338</v>
      </c>
      <c r="D2299">
        <v>11852</v>
      </c>
    </row>
    <row r="2300" spans="1:4" x14ac:dyDescent="0.25">
      <c r="A2300" t="str">
        <f>T("   830790")</f>
        <v xml:space="preserve">   830790</v>
      </c>
      <c r="B2300" t="str">
        <f>T("   Tuyaux flexibles en métaux communs autres que le fer ou l'acier, même avec accessoires")</f>
        <v xml:space="preserve">   Tuyaux flexibles en métaux communs autres que le fer ou l'acier, même avec accessoires</v>
      </c>
      <c r="C2300">
        <v>14268704</v>
      </c>
      <c r="D2300">
        <v>7147</v>
      </c>
    </row>
    <row r="2301" spans="1:4" x14ac:dyDescent="0.25">
      <c r="A2301" t="str">
        <f>T("   830810")</f>
        <v xml:space="preserve">   830810</v>
      </c>
      <c r="B2301"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2301">
        <v>35702</v>
      </c>
      <c r="D2301">
        <v>46</v>
      </c>
    </row>
    <row r="2302" spans="1:4" x14ac:dyDescent="0.25">
      <c r="A2302" t="str">
        <f>T("   831110")</f>
        <v xml:space="preserve">   831110</v>
      </c>
      <c r="B2302" t="str">
        <f>T("   ÉLECTRODES ENROBÉES EN MÉTAUX COMMUNS, POUR LE SOUDAGE À L'ARC")</f>
        <v xml:space="preserve">   ÉLECTRODES ENROBÉES EN MÉTAUX COMMUNS, POUR LE SOUDAGE À L'ARC</v>
      </c>
      <c r="C2302">
        <v>18712756</v>
      </c>
      <c r="D2302">
        <v>178642</v>
      </c>
    </row>
    <row r="2303" spans="1:4" x14ac:dyDescent="0.25">
      <c r="A2303" t="str">
        <f>T("   831130")</f>
        <v xml:space="preserve">   831130</v>
      </c>
      <c r="B2303" t="s">
        <v>409</v>
      </c>
      <c r="C2303">
        <v>45631837</v>
      </c>
      <c r="D2303">
        <v>372920</v>
      </c>
    </row>
    <row r="2304" spans="1:4" x14ac:dyDescent="0.25">
      <c r="A2304" t="str">
        <f>T("   831190")</f>
        <v xml:space="preserve">   831190</v>
      </c>
      <c r="B2304" t="s">
        <v>410</v>
      </c>
      <c r="C2304">
        <v>11031960</v>
      </c>
      <c r="D2304">
        <v>75460</v>
      </c>
    </row>
    <row r="2305" spans="1:4" x14ac:dyDescent="0.25">
      <c r="A2305" t="str">
        <f>T("   840219")</f>
        <v xml:space="preserve">   840219</v>
      </c>
      <c r="B2305" t="str">
        <f>T("   Chaudières à vapeur, y.c. les chaudières mixtes (autres que les chaudières aquatubulaires et les chaudières pour le chauffage central conçues pour produire à la fois de l'eau chaude et de la vapeur à basse pression)")</f>
        <v xml:space="preserve">   Chaudières à vapeur, y.c. les chaudières mixtes (autres que les chaudières aquatubulaires et les chaudières pour le chauffage central conçues pour produire à la fois de l'eau chaude et de la vapeur à basse pression)</v>
      </c>
      <c r="C2305">
        <v>796620</v>
      </c>
      <c r="D2305">
        <v>1306</v>
      </c>
    </row>
    <row r="2306" spans="1:4" x14ac:dyDescent="0.25">
      <c r="A2306" t="str">
        <f>T("   840790")</f>
        <v xml:space="preserve">   840790</v>
      </c>
      <c r="B2306" t="s">
        <v>414</v>
      </c>
      <c r="C2306">
        <v>825586</v>
      </c>
      <c r="D2306">
        <v>1150</v>
      </c>
    </row>
    <row r="2307" spans="1:4" x14ac:dyDescent="0.25">
      <c r="A2307" t="str">
        <f>T("   840890")</f>
        <v xml:space="preserve">   840890</v>
      </c>
      <c r="B2307" t="s">
        <v>416</v>
      </c>
      <c r="C2307">
        <v>3517172</v>
      </c>
      <c r="D2307">
        <v>3019</v>
      </c>
    </row>
    <row r="2308" spans="1:4" x14ac:dyDescent="0.25">
      <c r="A2308" t="str">
        <f>T("   840999")</f>
        <v xml:space="preserve">   840999</v>
      </c>
      <c r="B230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308">
        <v>23141708</v>
      </c>
      <c r="D2308">
        <v>6000</v>
      </c>
    </row>
    <row r="2309" spans="1:4" x14ac:dyDescent="0.25">
      <c r="A2309" t="str">
        <f>T("   841229")</f>
        <v xml:space="preserve">   841229</v>
      </c>
      <c r="B2309"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2309">
        <v>128418</v>
      </c>
      <c r="D2309">
        <v>1100</v>
      </c>
    </row>
    <row r="2310" spans="1:4" x14ac:dyDescent="0.25">
      <c r="A2310" t="str">
        <f>T("   841290")</f>
        <v xml:space="preserve">   841290</v>
      </c>
      <c r="B2310" t="str">
        <f>T("   PARTIES DE MOTEURS ET MACHINES MOTRICES NON-ÉLECTRIQUES, N.D.A.")</f>
        <v xml:space="preserve">   PARTIES DE MOTEURS ET MACHINES MOTRICES NON-ÉLECTRIQUES, N.D.A.</v>
      </c>
      <c r="C2310">
        <v>500000</v>
      </c>
      <c r="D2310">
        <v>2000</v>
      </c>
    </row>
    <row r="2311" spans="1:4" x14ac:dyDescent="0.25">
      <c r="A2311" t="str">
        <f>T("   841311")</f>
        <v xml:space="preserve">   841311</v>
      </c>
      <c r="B2311"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2311">
        <v>59717487</v>
      </c>
      <c r="D2311">
        <v>9572</v>
      </c>
    </row>
    <row r="2312" spans="1:4" x14ac:dyDescent="0.25">
      <c r="A2312" t="str">
        <f>T("   841319")</f>
        <v xml:space="preserve">   841319</v>
      </c>
      <c r="B2312"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2312">
        <v>32432143</v>
      </c>
      <c r="D2312">
        <v>7166</v>
      </c>
    </row>
    <row r="2313" spans="1:4" x14ac:dyDescent="0.25">
      <c r="A2313" t="str">
        <f>T("   841330")</f>
        <v xml:space="preserve">   841330</v>
      </c>
      <c r="B2313"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2313">
        <v>1939596</v>
      </c>
      <c r="D2313">
        <v>850</v>
      </c>
    </row>
    <row r="2314" spans="1:4" x14ac:dyDescent="0.25">
      <c r="A2314" t="str">
        <f>T("   841340")</f>
        <v xml:space="preserve">   841340</v>
      </c>
      <c r="B2314" t="str">
        <f>T("   Pompes à béton")</f>
        <v xml:space="preserve">   Pompes à béton</v>
      </c>
      <c r="C2314">
        <v>26804493</v>
      </c>
      <c r="D2314">
        <v>6600</v>
      </c>
    </row>
    <row r="2315" spans="1:4" x14ac:dyDescent="0.25">
      <c r="A2315" t="str">
        <f>T("   841381")</f>
        <v xml:space="preserve">   841381</v>
      </c>
      <c r="B2315" t="s">
        <v>420</v>
      </c>
      <c r="C2315">
        <v>26343281</v>
      </c>
      <c r="D2315">
        <v>24161</v>
      </c>
    </row>
    <row r="2316" spans="1:4" x14ac:dyDescent="0.25">
      <c r="A2316" t="str">
        <f>T("   841382")</f>
        <v xml:space="preserve">   841382</v>
      </c>
      <c r="B2316" t="str">
        <f>T("   Elévateurs à liquides (à l'excl. des pompes)")</f>
        <v xml:space="preserve">   Elévateurs à liquides (à l'excl. des pompes)</v>
      </c>
      <c r="C2316">
        <v>2640206</v>
      </c>
      <c r="D2316">
        <v>4100</v>
      </c>
    </row>
    <row r="2317" spans="1:4" x14ac:dyDescent="0.25">
      <c r="A2317" t="str">
        <f>T("   841391")</f>
        <v xml:space="preserve">   841391</v>
      </c>
      <c r="B2317" t="str">
        <f>T("   Parties de pompes pour liquides, n.d.a.")</f>
        <v xml:space="preserve">   Parties de pompes pour liquides, n.d.a.</v>
      </c>
      <c r="C2317">
        <v>8725259</v>
      </c>
      <c r="D2317">
        <v>25546</v>
      </c>
    </row>
    <row r="2318" spans="1:4" x14ac:dyDescent="0.25">
      <c r="A2318" t="str">
        <f>T("   841410")</f>
        <v xml:space="preserve">   841410</v>
      </c>
      <c r="B2318" t="str">
        <f>T("   Pompes à vide")</f>
        <v xml:space="preserve">   Pompes à vide</v>
      </c>
      <c r="C2318">
        <v>6567440</v>
      </c>
      <c r="D2318">
        <v>3945</v>
      </c>
    </row>
    <row r="2319" spans="1:4" x14ac:dyDescent="0.25">
      <c r="A2319" t="str">
        <f>T("   841420")</f>
        <v xml:space="preserve">   841420</v>
      </c>
      <c r="B2319" t="str">
        <f>T("   Pompes à air, à main ou à pied")</f>
        <v xml:space="preserve">   Pompes à air, à main ou à pied</v>
      </c>
      <c r="C2319">
        <v>5016484</v>
      </c>
      <c r="D2319">
        <v>4845</v>
      </c>
    </row>
    <row r="2320" spans="1:4" x14ac:dyDescent="0.25">
      <c r="A2320" t="str">
        <f>T("   841430")</f>
        <v xml:space="preserve">   841430</v>
      </c>
      <c r="B2320" t="str">
        <f>T("   Compresseurs des types utilisés pour équipements frigorifiques")</f>
        <v xml:space="preserve">   Compresseurs des types utilisés pour équipements frigorifiques</v>
      </c>
      <c r="C2320">
        <v>2227338</v>
      </c>
      <c r="D2320">
        <v>76</v>
      </c>
    </row>
    <row r="2321" spans="1:4" x14ac:dyDescent="0.25">
      <c r="A2321" t="str">
        <f>T("   841440")</f>
        <v xml:space="preserve">   841440</v>
      </c>
      <c r="B2321" t="str">
        <f>T("   Compresseurs d'air montés sur châssis à roues et remorquables")</f>
        <v xml:space="preserve">   Compresseurs d'air montés sur châssis à roues et remorquables</v>
      </c>
      <c r="C2321">
        <v>9594289</v>
      </c>
      <c r="D2321">
        <v>5150</v>
      </c>
    </row>
    <row r="2322" spans="1:4" x14ac:dyDescent="0.25">
      <c r="A2322" t="str">
        <f>T("   841451")</f>
        <v xml:space="preserve">   841451</v>
      </c>
      <c r="B2322"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2322">
        <v>44788852</v>
      </c>
      <c r="D2322">
        <v>116986</v>
      </c>
    </row>
    <row r="2323" spans="1:4" x14ac:dyDescent="0.25">
      <c r="A2323" t="str">
        <f>T("   841459")</f>
        <v xml:space="preserve">   841459</v>
      </c>
      <c r="B2323"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323">
        <v>55690757</v>
      </c>
      <c r="D2323">
        <v>115739</v>
      </c>
    </row>
    <row r="2324" spans="1:4" x14ac:dyDescent="0.25">
      <c r="A2324" t="str">
        <f>T("   841480")</f>
        <v xml:space="preserve">   841480</v>
      </c>
      <c r="B2324" t="s">
        <v>421</v>
      </c>
      <c r="C2324">
        <v>11977502</v>
      </c>
      <c r="D2324">
        <v>14022</v>
      </c>
    </row>
    <row r="2325" spans="1:4" x14ac:dyDescent="0.25">
      <c r="A2325" t="str">
        <f>T("   841490")</f>
        <v xml:space="preserve">   841490</v>
      </c>
      <c r="B232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325">
        <v>15830968</v>
      </c>
      <c r="D2325">
        <v>21621</v>
      </c>
    </row>
    <row r="2326" spans="1:4" x14ac:dyDescent="0.25">
      <c r="A2326" t="str">
        <f>T("   841510")</f>
        <v xml:space="preserve">   841510</v>
      </c>
      <c r="B2326" t="s">
        <v>422</v>
      </c>
      <c r="C2326">
        <v>144473339</v>
      </c>
      <c r="D2326">
        <v>174211</v>
      </c>
    </row>
    <row r="2327" spans="1:4" x14ac:dyDescent="0.25">
      <c r="A2327" t="str">
        <f>T("   841520")</f>
        <v xml:space="preserve">   841520</v>
      </c>
      <c r="B2327"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2327">
        <v>611719</v>
      </c>
      <c r="D2327">
        <v>650</v>
      </c>
    </row>
    <row r="2328" spans="1:4" x14ac:dyDescent="0.25">
      <c r="A2328" t="str">
        <f>T("   841582")</f>
        <v xml:space="preserve">   841582</v>
      </c>
      <c r="B2328" t="s">
        <v>424</v>
      </c>
      <c r="C2328">
        <v>5618161</v>
      </c>
      <c r="D2328">
        <v>3400</v>
      </c>
    </row>
    <row r="2329" spans="1:4" x14ac:dyDescent="0.25">
      <c r="A2329" t="str">
        <f>T("   841590")</f>
        <v xml:space="preserve">   841590</v>
      </c>
      <c r="B2329"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2329">
        <v>3883038</v>
      </c>
      <c r="D2329">
        <v>5809</v>
      </c>
    </row>
    <row r="2330" spans="1:4" x14ac:dyDescent="0.25">
      <c r="A2330" t="str">
        <f>T("   841610")</f>
        <v xml:space="preserve">   841610</v>
      </c>
      <c r="B2330" t="str">
        <f>T("   Brûleurs pour foyers à combustibles liquides")</f>
        <v xml:space="preserve">   Brûleurs pour foyers à combustibles liquides</v>
      </c>
      <c r="C2330">
        <v>1510119</v>
      </c>
      <c r="D2330">
        <v>735</v>
      </c>
    </row>
    <row r="2331" spans="1:4" x14ac:dyDescent="0.25">
      <c r="A2331" t="str">
        <f>T("   841620")</f>
        <v xml:space="preserve">   841620</v>
      </c>
      <c r="B2331" t="str">
        <f>T("   Brûleurs pour l'alimentation des foyers à combustibles solides pulvérisés ou à gaz, y.c. les brûleurs mixtes")</f>
        <v xml:space="preserve">   Brûleurs pour l'alimentation des foyers à combustibles solides pulvérisés ou à gaz, y.c. les brûleurs mixtes</v>
      </c>
      <c r="C2331">
        <v>1539265</v>
      </c>
      <c r="D2331">
        <v>300</v>
      </c>
    </row>
    <row r="2332" spans="1:4" x14ac:dyDescent="0.25">
      <c r="A2332" t="str">
        <f>T("   841790")</f>
        <v xml:space="preserve">   841790</v>
      </c>
      <c r="B2332" t="str">
        <f>T("   Parties de fours industriels ou de laboratoire non-électriques, y.c. d'incinérateurs, n.d.a.")</f>
        <v xml:space="preserve">   Parties de fours industriels ou de laboratoire non-électriques, y.c. d'incinérateurs, n.d.a.</v>
      </c>
      <c r="C2332">
        <v>166231415</v>
      </c>
      <c r="D2332">
        <v>168210</v>
      </c>
    </row>
    <row r="2333" spans="1:4" x14ac:dyDescent="0.25">
      <c r="A2333" t="str">
        <f>T("   841810")</f>
        <v xml:space="preserve">   841810</v>
      </c>
      <c r="B2333" t="str">
        <f>T("   Réfrigérateurs et congélateurs-conservateurs combinés, avec portes extérieures séparées")</f>
        <v xml:space="preserve">   Réfrigérateurs et congélateurs-conservateurs combinés, avec portes extérieures séparées</v>
      </c>
      <c r="C2333">
        <v>24832880</v>
      </c>
      <c r="D2333">
        <v>15608</v>
      </c>
    </row>
    <row r="2334" spans="1:4" x14ac:dyDescent="0.25">
      <c r="A2334" t="str">
        <f>T("   841821")</f>
        <v xml:space="preserve">   841821</v>
      </c>
      <c r="B2334" t="str">
        <f>T("   Réfrigérateurs ménagers à compression")</f>
        <v xml:space="preserve">   Réfrigérateurs ménagers à compression</v>
      </c>
      <c r="C2334">
        <v>22938567</v>
      </c>
      <c r="D2334">
        <v>6405</v>
      </c>
    </row>
    <row r="2335" spans="1:4" x14ac:dyDescent="0.25">
      <c r="A2335" t="str">
        <f>T("   841822")</f>
        <v xml:space="preserve">   841822</v>
      </c>
      <c r="B2335" t="str">
        <f>T("   Réfrigérateurs ménagers à absorption, électriques")</f>
        <v xml:space="preserve">   Réfrigérateurs ménagers à absorption, électriques</v>
      </c>
      <c r="C2335">
        <v>962689</v>
      </c>
      <c r="D2335">
        <v>996</v>
      </c>
    </row>
    <row r="2336" spans="1:4" x14ac:dyDescent="0.25">
      <c r="A2336" t="str">
        <f>T("   841829")</f>
        <v xml:space="preserve">   841829</v>
      </c>
      <c r="B2336" t="str">
        <f>T("   Réfrigérateurs ménagers à absorption, non-électriques")</f>
        <v xml:space="preserve">   Réfrigérateurs ménagers à absorption, non-électriques</v>
      </c>
      <c r="C2336">
        <v>145517243</v>
      </c>
      <c r="D2336">
        <v>230240</v>
      </c>
    </row>
    <row r="2337" spans="1:4" x14ac:dyDescent="0.25">
      <c r="A2337" t="str">
        <f>T("   841830")</f>
        <v xml:space="preserve">   841830</v>
      </c>
      <c r="B2337" t="str">
        <f>T("   Meubles congélateurs-conservateurs du type coffre, capacité &lt;= 800 l")</f>
        <v xml:space="preserve">   Meubles congélateurs-conservateurs du type coffre, capacité &lt;= 800 l</v>
      </c>
      <c r="C2337">
        <v>68120643</v>
      </c>
      <c r="D2337">
        <v>40980</v>
      </c>
    </row>
    <row r="2338" spans="1:4" x14ac:dyDescent="0.25">
      <c r="A2338" t="str">
        <f>T("   841840")</f>
        <v xml:space="preserve">   841840</v>
      </c>
      <c r="B2338" t="str">
        <f>T("   Meubles congélateurs-conservateurs du type armoire, capacité &lt;= 900 l")</f>
        <v xml:space="preserve">   Meubles congélateurs-conservateurs du type armoire, capacité &lt;= 900 l</v>
      </c>
      <c r="C2338">
        <v>21249123</v>
      </c>
      <c r="D2338">
        <v>15157</v>
      </c>
    </row>
    <row r="2339" spans="1:4" x14ac:dyDescent="0.25">
      <c r="A2339" t="str">
        <f>T("   841850")</f>
        <v xml:space="preserve">   841850</v>
      </c>
      <c r="B2339" t="s">
        <v>427</v>
      </c>
      <c r="C2339">
        <v>51124269</v>
      </c>
      <c r="D2339">
        <v>56435</v>
      </c>
    </row>
    <row r="2340" spans="1:4" x14ac:dyDescent="0.25">
      <c r="A2340" t="str">
        <f>T("   841899")</f>
        <v xml:space="preserve">   841899</v>
      </c>
      <c r="B2340"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340">
        <v>47071573</v>
      </c>
      <c r="D2340">
        <v>22128</v>
      </c>
    </row>
    <row r="2341" spans="1:4" x14ac:dyDescent="0.25">
      <c r="A2341" t="str">
        <f>T("   841919")</f>
        <v xml:space="preserve">   841919</v>
      </c>
      <c r="B2341"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2341">
        <v>4916627</v>
      </c>
      <c r="D2341">
        <v>9851</v>
      </c>
    </row>
    <row r="2342" spans="1:4" x14ac:dyDescent="0.25">
      <c r="A2342" t="str">
        <f>T("   841939")</f>
        <v xml:space="preserve">   841939</v>
      </c>
      <c r="B2342"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2342">
        <v>552349</v>
      </c>
      <c r="D2342">
        <v>1200</v>
      </c>
    </row>
    <row r="2343" spans="1:4" x14ac:dyDescent="0.25">
      <c r="A2343" t="str">
        <f>T("   841989")</f>
        <v xml:space="preserve">   841989</v>
      </c>
      <c r="B2343" t="s">
        <v>428</v>
      </c>
      <c r="C2343">
        <v>10498841</v>
      </c>
      <c r="D2343">
        <v>17604</v>
      </c>
    </row>
    <row r="2344" spans="1:4" x14ac:dyDescent="0.25">
      <c r="A2344" t="str">
        <f>T("   842010")</f>
        <v xml:space="preserve">   842010</v>
      </c>
      <c r="B2344" t="str">
        <f>T("   Calandres et laminoirs (autres que pour les métaux ou le verre)")</f>
        <v xml:space="preserve">   Calandres et laminoirs (autres que pour les métaux ou le verre)</v>
      </c>
      <c r="C2344">
        <v>124155</v>
      </c>
      <c r="D2344">
        <v>13</v>
      </c>
    </row>
    <row r="2345" spans="1:4" x14ac:dyDescent="0.25">
      <c r="A2345" t="str">
        <f>T("   842121")</f>
        <v xml:space="preserve">   842121</v>
      </c>
      <c r="B2345" t="str">
        <f>T("   Appareils pour la filtration ou l'épuration des eaux")</f>
        <v xml:space="preserve">   Appareils pour la filtration ou l'épuration des eaux</v>
      </c>
      <c r="C2345">
        <v>2540929</v>
      </c>
      <c r="D2345">
        <v>1974</v>
      </c>
    </row>
    <row r="2346" spans="1:4" x14ac:dyDescent="0.25">
      <c r="A2346" t="str">
        <f>T("   842123")</f>
        <v xml:space="preserve">   842123</v>
      </c>
      <c r="B234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346">
        <v>402149</v>
      </c>
      <c r="D2346">
        <v>45</v>
      </c>
    </row>
    <row r="2347" spans="1:4" x14ac:dyDescent="0.25">
      <c r="A2347" t="str">
        <f>T("   842129")</f>
        <v xml:space="preserve">   842129</v>
      </c>
      <c r="B234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347">
        <v>47245053</v>
      </c>
      <c r="D2347">
        <v>36738</v>
      </c>
    </row>
    <row r="2348" spans="1:4" x14ac:dyDescent="0.25">
      <c r="A2348" t="str">
        <f>T("   842131")</f>
        <v xml:space="preserve">   842131</v>
      </c>
      <c r="B2348" t="str">
        <f>T("   Filtres d'entrée d'air pour moteurs à allumage par étincelles ou par compression")</f>
        <v xml:space="preserve">   Filtres d'entrée d'air pour moteurs à allumage par étincelles ou par compression</v>
      </c>
      <c r="C2348">
        <v>93355</v>
      </c>
      <c r="D2348">
        <v>20</v>
      </c>
    </row>
    <row r="2349" spans="1:4" x14ac:dyDescent="0.25">
      <c r="A2349" t="str">
        <f>T("   842139")</f>
        <v xml:space="preserve">   842139</v>
      </c>
      <c r="B2349"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349">
        <v>222969</v>
      </c>
      <c r="D2349">
        <v>120.9</v>
      </c>
    </row>
    <row r="2350" spans="1:4" x14ac:dyDescent="0.25">
      <c r="A2350" t="str">
        <f>T("   842211")</f>
        <v xml:space="preserve">   842211</v>
      </c>
      <c r="B2350" t="str">
        <f>T("   Machines à laver la vaisselle, de type ménager")</f>
        <v xml:space="preserve">   Machines à laver la vaisselle, de type ménager</v>
      </c>
      <c r="C2350">
        <v>568914</v>
      </c>
      <c r="D2350">
        <v>566</v>
      </c>
    </row>
    <row r="2351" spans="1:4" x14ac:dyDescent="0.25">
      <c r="A2351" t="str">
        <f>T("   842220")</f>
        <v xml:space="preserve">   842220</v>
      </c>
      <c r="B2351"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2351">
        <v>1221836</v>
      </c>
      <c r="D2351">
        <v>274</v>
      </c>
    </row>
    <row r="2352" spans="1:4" x14ac:dyDescent="0.25">
      <c r="A2352" t="str">
        <f>T("   842230")</f>
        <v xml:space="preserve">   842230</v>
      </c>
      <c r="B235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2352">
        <v>6336822</v>
      </c>
      <c r="D2352">
        <v>1039</v>
      </c>
    </row>
    <row r="2353" spans="1:4" x14ac:dyDescent="0.25">
      <c r="A2353" t="str">
        <f>T("   842240")</f>
        <v xml:space="preserve">   842240</v>
      </c>
      <c r="B2353" t="s">
        <v>429</v>
      </c>
      <c r="C2353">
        <v>38826063</v>
      </c>
      <c r="D2353">
        <v>19787</v>
      </c>
    </row>
    <row r="2354" spans="1:4" x14ac:dyDescent="0.25">
      <c r="A2354" t="str">
        <f>T("   842290")</f>
        <v xml:space="preserve">   842290</v>
      </c>
      <c r="B235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2354">
        <v>201505</v>
      </c>
      <c r="D2354">
        <v>102</v>
      </c>
    </row>
    <row r="2355" spans="1:4" x14ac:dyDescent="0.25">
      <c r="A2355" t="str">
        <f>T("   842310")</f>
        <v xml:space="preserve">   842310</v>
      </c>
      <c r="B2355" t="str">
        <f>T("   Pèse-personnes, y.c. les pèse-bébés; balances de ménage")</f>
        <v xml:space="preserve">   Pèse-personnes, y.c. les pèse-bébés; balances de ménage</v>
      </c>
      <c r="C2355">
        <v>2481470</v>
      </c>
      <c r="D2355">
        <v>471</v>
      </c>
    </row>
    <row r="2356" spans="1:4" x14ac:dyDescent="0.25">
      <c r="A2356" t="str">
        <f>T("   842382")</f>
        <v xml:space="preserve">   842382</v>
      </c>
      <c r="B2356"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2356">
        <v>21902396</v>
      </c>
      <c r="D2356">
        <v>1800</v>
      </c>
    </row>
    <row r="2357" spans="1:4" x14ac:dyDescent="0.25">
      <c r="A2357" t="str">
        <f>T("   842389")</f>
        <v xml:space="preserve">   842389</v>
      </c>
      <c r="B2357" t="str">
        <f>T("   Appareils et instruments de pesage, portée &gt; 5000 kg")</f>
        <v xml:space="preserve">   Appareils et instruments de pesage, portée &gt; 5000 kg</v>
      </c>
      <c r="C2357">
        <v>8247739</v>
      </c>
      <c r="D2357">
        <v>9715</v>
      </c>
    </row>
    <row r="2358" spans="1:4" x14ac:dyDescent="0.25">
      <c r="A2358" t="str">
        <f>T("   842410")</f>
        <v xml:space="preserve">   842410</v>
      </c>
      <c r="B2358" t="str">
        <f>T("   Extincteurs mécaniques, même chargés (sauf bombes et grenades d'extinction d'incendie)")</f>
        <v xml:space="preserve">   Extincteurs mécaniques, même chargés (sauf bombes et grenades d'extinction d'incendie)</v>
      </c>
      <c r="C2358">
        <v>1540486</v>
      </c>
      <c r="D2358">
        <v>400</v>
      </c>
    </row>
    <row r="2359" spans="1:4" x14ac:dyDescent="0.25">
      <c r="A2359" t="str">
        <f>T("   842481")</f>
        <v xml:space="preserve">   842481</v>
      </c>
      <c r="B2359"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2359">
        <v>33343335</v>
      </c>
      <c r="D2359">
        <v>25612</v>
      </c>
    </row>
    <row r="2360" spans="1:4" x14ac:dyDescent="0.25">
      <c r="A2360" t="str">
        <f>T("   842490")</f>
        <v xml:space="preserve">   842490</v>
      </c>
      <c r="B2360" t="s">
        <v>432</v>
      </c>
      <c r="C2360">
        <v>21847676</v>
      </c>
      <c r="D2360">
        <v>29700</v>
      </c>
    </row>
    <row r="2361" spans="1:4" x14ac:dyDescent="0.25">
      <c r="A2361" t="str">
        <f>T("   842539")</f>
        <v xml:space="preserve">   842539</v>
      </c>
      <c r="B2361"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2361">
        <v>340671</v>
      </c>
      <c r="D2361">
        <v>167</v>
      </c>
    </row>
    <row r="2362" spans="1:4" x14ac:dyDescent="0.25">
      <c r="A2362" t="str">
        <f>T("   842542")</f>
        <v xml:space="preserve">   842542</v>
      </c>
      <c r="B2362" t="str">
        <f>T("   Crics et vérins, hydrauliques (sauf élévateurs fixes des types utilisés dans les garages pour voitures)")</f>
        <v xml:space="preserve">   Crics et vérins, hydrauliques (sauf élévateurs fixes des types utilisés dans les garages pour voitures)</v>
      </c>
      <c r="C2362">
        <v>4274078</v>
      </c>
      <c r="D2362">
        <v>6456</v>
      </c>
    </row>
    <row r="2363" spans="1:4" x14ac:dyDescent="0.25">
      <c r="A2363" t="str">
        <f>T("   842549")</f>
        <v xml:space="preserve">   842549</v>
      </c>
      <c r="B2363" t="str">
        <f>T("   Crics et vérins, non hydrauliques")</f>
        <v xml:space="preserve">   Crics et vérins, non hydrauliques</v>
      </c>
      <c r="C2363">
        <v>2165527</v>
      </c>
      <c r="D2363">
        <v>2000</v>
      </c>
    </row>
    <row r="2364" spans="1:4" x14ac:dyDescent="0.25">
      <c r="A2364" t="str">
        <f>T("   842619")</f>
        <v xml:space="preserve">   842619</v>
      </c>
      <c r="B2364" t="str">
        <f>T("   Ponts roulants, grues portiques, portiques de déchargement et ponts-grues (à l'excl. des ponts roulants et poutres roulantes sur supports fixes, portiques mobiles sur pneumatiques, chariots-cavaliers et grues sur portiques)")</f>
        <v xml:space="preserve">   Ponts roulants, grues portiques, portiques de déchargement et ponts-grues (à l'excl. des ponts roulants et poutres roulantes sur supports fixes, portiques mobiles sur pneumatiques, chariots-cavaliers et grues sur portiques)</v>
      </c>
      <c r="C2364">
        <v>7159148</v>
      </c>
      <c r="D2364">
        <v>13285</v>
      </c>
    </row>
    <row r="2365" spans="1:4" x14ac:dyDescent="0.25">
      <c r="A2365" t="str">
        <f>T("   842620")</f>
        <v xml:space="preserve">   842620</v>
      </c>
      <c r="B2365" t="str">
        <f>T("   Grues à tour")</f>
        <v xml:space="preserve">   Grues à tour</v>
      </c>
      <c r="C2365">
        <v>51446287</v>
      </c>
      <c r="D2365">
        <v>51030</v>
      </c>
    </row>
    <row r="2366" spans="1:4" x14ac:dyDescent="0.25">
      <c r="A2366" t="str">
        <f>T("   842649")</f>
        <v xml:space="preserve">   842649</v>
      </c>
      <c r="B2366" t="str">
        <f>T("   Bigues et chariots-grues et appareils autopropulsés (autres que sur pneumatiques et sauf chariots-cavaliers)")</f>
        <v xml:space="preserve">   Bigues et chariots-grues et appareils autopropulsés (autres que sur pneumatiques et sauf chariots-cavaliers)</v>
      </c>
      <c r="C2366">
        <v>8656246</v>
      </c>
      <c r="D2366">
        <v>7761</v>
      </c>
    </row>
    <row r="2367" spans="1:4" x14ac:dyDescent="0.25">
      <c r="A2367" t="str">
        <f>T("   842790")</f>
        <v xml:space="preserve">   842790</v>
      </c>
      <c r="B2367" t="str">
        <f>T("   Chariots de manutention munis d'un dispositif de levage mais non autopropulsés")</f>
        <v xml:space="preserve">   Chariots de manutention munis d'un dispositif de levage mais non autopropulsés</v>
      </c>
      <c r="C2367">
        <v>22687894</v>
      </c>
      <c r="D2367">
        <v>18306</v>
      </c>
    </row>
    <row r="2368" spans="1:4" x14ac:dyDescent="0.25">
      <c r="A2368" t="str">
        <f>T("   842810")</f>
        <v xml:space="preserve">   842810</v>
      </c>
      <c r="B2368" t="str">
        <f>T("   Ascenseurs et monte-charge")</f>
        <v xml:space="preserve">   Ascenseurs et monte-charge</v>
      </c>
      <c r="C2368">
        <v>28656195</v>
      </c>
      <c r="D2368">
        <v>16710</v>
      </c>
    </row>
    <row r="2369" spans="1:4" x14ac:dyDescent="0.25">
      <c r="A2369" t="str">
        <f>T("   842831")</f>
        <v xml:space="preserve">   842831</v>
      </c>
      <c r="B2369" t="str">
        <f>T("   Appareils élévateurs, transporteurs ou convoyeurs pour marchandises, à action continue, spécialement conçus pour mines au fond ou autres travaux souterrains (à l'excl. des appareils élévateurs ou transporteurs pneumatiques)")</f>
        <v xml:space="preserve">   Appareils élévateurs, transporteurs ou convoyeurs pour marchandises, à action continue, spécialement conçus pour mines au fond ou autres travaux souterrains (à l'excl. des appareils élévateurs ou transporteurs pneumatiques)</v>
      </c>
      <c r="C2369">
        <v>5195964</v>
      </c>
      <c r="D2369">
        <v>3335</v>
      </c>
    </row>
    <row r="2370" spans="1:4" x14ac:dyDescent="0.25">
      <c r="A2370" t="str">
        <f>T("   842839")</f>
        <v xml:space="preserve">   842839</v>
      </c>
      <c r="B237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2370">
        <v>3739051</v>
      </c>
      <c r="D2370">
        <v>3200</v>
      </c>
    </row>
    <row r="2371" spans="1:4" x14ac:dyDescent="0.25">
      <c r="A2371" t="str">
        <f>T("   842911")</f>
        <v xml:space="preserve">   842911</v>
      </c>
      <c r="B2371" t="str">
        <f>T("   Bouteurs 'bulldozers' et bouteurs biais 'angledozers', à chenilles")</f>
        <v xml:space="preserve">   Bouteurs 'bulldozers' et bouteurs biais 'angledozers', à chenilles</v>
      </c>
      <c r="C2371">
        <v>294417814</v>
      </c>
      <c r="D2371">
        <v>104095</v>
      </c>
    </row>
    <row r="2372" spans="1:4" x14ac:dyDescent="0.25">
      <c r="A2372" t="str">
        <f>T("   842920")</f>
        <v xml:space="preserve">   842920</v>
      </c>
      <c r="B2372" t="str">
        <f>T("   Niveleuses autopropulsées")</f>
        <v xml:space="preserve">   Niveleuses autopropulsées</v>
      </c>
      <c r="C2372">
        <v>46940884</v>
      </c>
      <c r="D2372">
        <v>31400</v>
      </c>
    </row>
    <row r="2373" spans="1:4" x14ac:dyDescent="0.25">
      <c r="A2373" t="str">
        <f>T("   842940")</f>
        <v xml:space="preserve">   842940</v>
      </c>
      <c r="B2373" t="str">
        <f>T("   Rouleaux compresseurs et autres compacteuses, autopropulsés")</f>
        <v xml:space="preserve">   Rouleaux compresseurs et autres compacteuses, autopropulsés</v>
      </c>
      <c r="C2373">
        <v>254841555</v>
      </c>
      <c r="D2373">
        <v>169807</v>
      </c>
    </row>
    <row r="2374" spans="1:4" x14ac:dyDescent="0.25">
      <c r="A2374" t="str">
        <f>T("   842951")</f>
        <v xml:space="preserve">   842951</v>
      </c>
      <c r="B2374" t="str">
        <f>T("   Chargeuses et chargeuses-pelleteuses, à chargement frontal, autopropulsées")</f>
        <v xml:space="preserve">   Chargeuses et chargeuses-pelleteuses, à chargement frontal, autopropulsées</v>
      </c>
      <c r="C2374">
        <v>327585732</v>
      </c>
      <c r="D2374">
        <v>181290</v>
      </c>
    </row>
    <row r="2375" spans="1:4" x14ac:dyDescent="0.25">
      <c r="A2375" t="str">
        <f>T("   842952")</f>
        <v xml:space="preserve">   842952</v>
      </c>
      <c r="B2375" t="str">
        <f>T("   Pelles mécaniques, autopropulsées, dont la superstructure peut effectuer une rotation de 360°")</f>
        <v xml:space="preserve">   Pelles mécaniques, autopropulsées, dont la superstructure peut effectuer une rotation de 360°</v>
      </c>
      <c r="C2375">
        <v>60962954</v>
      </c>
      <c r="D2375">
        <v>25000</v>
      </c>
    </row>
    <row r="2376" spans="1:4" x14ac:dyDescent="0.25">
      <c r="A2376" t="str">
        <f>T("   842959")</f>
        <v xml:space="preserve">   842959</v>
      </c>
      <c r="B2376"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376">
        <v>67983221</v>
      </c>
      <c r="D2376">
        <v>40143</v>
      </c>
    </row>
    <row r="2377" spans="1:4" x14ac:dyDescent="0.25">
      <c r="A2377" t="str">
        <f>T("   843039")</f>
        <v xml:space="preserve">   843039</v>
      </c>
      <c r="B2377"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2377">
        <v>49254093</v>
      </c>
      <c r="D2377">
        <v>149205</v>
      </c>
    </row>
    <row r="2378" spans="1:4" x14ac:dyDescent="0.25">
      <c r="A2378" t="str">
        <f>T("   843049")</f>
        <v xml:space="preserve">   843049</v>
      </c>
      <c r="B2378"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2378">
        <v>79873887</v>
      </c>
      <c r="D2378">
        <v>48770</v>
      </c>
    </row>
    <row r="2379" spans="1:4" x14ac:dyDescent="0.25">
      <c r="A2379" t="str">
        <f>T("   843120")</f>
        <v xml:space="preserve">   843120</v>
      </c>
      <c r="B2379" t="str">
        <f>T("   Parties de chariots-gerbeurs et autres chariots de manutention munis d'un dispositif de levage, n.d.a.")</f>
        <v xml:space="preserve">   Parties de chariots-gerbeurs et autres chariots de manutention munis d'un dispositif de levage, n.d.a.</v>
      </c>
      <c r="C2379">
        <v>429995</v>
      </c>
      <c r="D2379">
        <v>20</v>
      </c>
    </row>
    <row r="2380" spans="1:4" x14ac:dyDescent="0.25">
      <c r="A2380" t="str">
        <f>T("   843139")</f>
        <v xml:space="preserve">   843139</v>
      </c>
      <c r="B2380" t="str">
        <f>T("   Parties de machines et appareils du n° 8428, n.d.a.")</f>
        <v xml:space="preserve">   Parties de machines et appareils du n° 8428, n.d.a.</v>
      </c>
      <c r="C2380">
        <v>7811825</v>
      </c>
      <c r="D2380">
        <v>21696</v>
      </c>
    </row>
    <row r="2381" spans="1:4" x14ac:dyDescent="0.25">
      <c r="A2381" t="str">
        <f>T("   843141")</f>
        <v xml:space="preserve">   843141</v>
      </c>
      <c r="B2381" t="str">
        <f>T("   Godets, bennes, bennes-preneuses, pelles, grappins et pinces pour machines et appareils du n° 8426, 8429 ou 8430")</f>
        <v xml:space="preserve">   Godets, bennes, bennes-preneuses, pelles, grappins et pinces pour machines et appareils du n° 8426, 8429 ou 8430</v>
      </c>
      <c r="C2381">
        <v>9385947</v>
      </c>
      <c r="D2381">
        <v>3040</v>
      </c>
    </row>
    <row r="2382" spans="1:4" x14ac:dyDescent="0.25">
      <c r="A2382" t="str">
        <f>T("   843142")</f>
        <v xml:space="preserve">   843142</v>
      </c>
      <c r="B2382" t="str">
        <f>T("   Lames de bouteurs 'bulldozers' ou de bouteurs biais 'angledozers', n.d.a.")</f>
        <v xml:space="preserve">   Lames de bouteurs 'bulldozers' ou de bouteurs biais 'angledozers', n.d.a.</v>
      </c>
      <c r="C2382">
        <v>10244907</v>
      </c>
      <c r="D2382">
        <v>2980</v>
      </c>
    </row>
    <row r="2383" spans="1:4" x14ac:dyDescent="0.25">
      <c r="A2383" t="str">
        <f>T("   843143")</f>
        <v xml:space="preserve">   843143</v>
      </c>
      <c r="B2383" t="str">
        <f>T("   Parties de machines de sondage ou de forage du n° 8430.41 ou 8430.49, n.d.a.")</f>
        <v xml:space="preserve">   Parties de machines de sondage ou de forage du n° 8430.41 ou 8430.49, n.d.a.</v>
      </c>
      <c r="C2383">
        <v>49018623</v>
      </c>
      <c r="D2383">
        <v>1380</v>
      </c>
    </row>
    <row r="2384" spans="1:4" x14ac:dyDescent="0.25">
      <c r="A2384" t="str">
        <f>T("   843149")</f>
        <v xml:space="preserve">   843149</v>
      </c>
      <c r="B2384" t="str">
        <f>T("   Parties de machines et appareils du n° 8426, 8429 ou 8430, n.d.a.")</f>
        <v xml:space="preserve">   Parties de machines et appareils du n° 8426, 8429 ou 8430, n.d.a.</v>
      </c>
      <c r="C2384">
        <v>26065641</v>
      </c>
      <c r="D2384">
        <v>24986.799999999999</v>
      </c>
    </row>
    <row r="2385" spans="1:4" x14ac:dyDescent="0.25">
      <c r="A2385" t="str">
        <f>T("   843210")</f>
        <v xml:space="preserve">   843210</v>
      </c>
      <c r="B2385" t="str">
        <f>T("   Charrues pour l'agriculture, la sylviculture ou l'horticulture")</f>
        <v xml:space="preserve">   Charrues pour l'agriculture, la sylviculture ou l'horticulture</v>
      </c>
      <c r="C2385">
        <v>9324980</v>
      </c>
      <c r="D2385">
        <v>3830</v>
      </c>
    </row>
    <row r="2386" spans="1:4" x14ac:dyDescent="0.25">
      <c r="A2386" t="str">
        <f>T("   843280")</f>
        <v xml:space="preserve">   843280</v>
      </c>
      <c r="B2386" t="s">
        <v>434</v>
      </c>
      <c r="C2386">
        <v>804600</v>
      </c>
      <c r="D2386">
        <v>3600</v>
      </c>
    </row>
    <row r="2387" spans="1:4" x14ac:dyDescent="0.25">
      <c r="A2387" t="str">
        <f>T("   843311")</f>
        <v xml:space="preserve">   843311</v>
      </c>
      <c r="B2387" t="str">
        <f>T("   Tondeuses à gazon à moteur, dont le dispositif de coupe tourne dans un plan horizontal")</f>
        <v xml:space="preserve">   Tondeuses à gazon à moteur, dont le dispositif de coupe tourne dans un plan horizontal</v>
      </c>
      <c r="C2387">
        <v>371929</v>
      </c>
      <c r="D2387">
        <v>473</v>
      </c>
    </row>
    <row r="2388" spans="1:4" x14ac:dyDescent="0.25">
      <c r="A2388" t="str">
        <f>T("   843359")</f>
        <v xml:space="preserve">   843359</v>
      </c>
      <c r="B2388" t="s">
        <v>435</v>
      </c>
      <c r="C2388">
        <v>6699875</v>
      </c>
      <c r="D2388">
        <v>1200</v>
      </c>
    </row>
    <row r="2389" spans="1:4" x14ac:dyDescent="0.25">
      <c r="A2389" t="str">
        <f>T("   843510")</f>
        <v xml:space="preserve">   843510</v>
      </c>
      <c r="B2389" t="s">
        <v>437</v>
      </c>
      <c r="C2389">
        <v>3783278</v>
      </c>
      <c r="D2389">
        <v>3700</v>
      </c>
    </row>
    <row r="2390" spans="1:4" x14ac:dyDescent="0.25">
      <c r="A2390" t="str">
        <f>T("   843590")</f>
        <v xml:space="preserve">   843590</v>
      </c>
      <c r="B2390" t="str">
        <f>T("   Parties de presses et fouloirs et de machines et appareils simil. pour la fabrication du vin, du cidre, des jus de fruits et boissons simil., n.d.a.")</f>
        <v xml:space="preserve">   Parties de presses et fouloirs et de machines et appareils simil. pour la fabrication du vin, du cidre, des jus de fruits et boissons simil., n.d.a.</v>
      </c>
      <c r="C2390">
        <v>74684</v>
      </c>
      <c r="D2390">
        <v>4</v>
      </c>
    </row>
    <row r="2391" spans="1:4" x14ac:dyDescent="0.25">
      <c r="A2391" t="str">
        <f>T("   843610")</f>
        <v xml:space="preserve">   843610</v>
      </c>
      <c r="B2391" t="s">
        <v>438</v>
      </c>
      <c r="C2391">
        <v>4188551</v>
      </c>
      <c r="D2391">
        <v>4000</v>
      </c>
    </row>
    <row r="2392" spans="1:4" x14ac:dyDescent="0.25">
      <c r="A2392" t="str">
        <f>T("   843621")</f>
        <v xml:space="preserve">   843621</v>
      </c>
      <c r="B2392" t="str">
        <f>T("   Couveuses et éleveuses pour l'aviculture")</f>
        <v xml:space="preserve">   Couveuses et éleveuses pour l'aviculture</v>
      </c>
      <c r="C2392">
        <v>6839759</v>
      </c>
      <c r="D2392">
        <v>1400</v>
      </c>
    </row>
    <row r="2393" spans="1:4" x14ac:dyDescent="0.25">
      <c r="A2393" t="str">
        <f>T("   843629")</f>
        <v xml:space="preserve">   843629</v>
      </c>
      <c r="B2393"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2393">
        <v>1179743</v>
      </c>
      <c r="D2393">
        <v>1282</v>
      </c>
    </row>
    <row r="2394" spans="1:4" x14ac:dyDescent="0.25">
      <c r="A2394" t="str">
        <f>T("   843680")</f>
        <v xml:space="preserve">   843680</v>
      </c>
      <c r="B2394" t="str">
        <f>T("   Machines et appareils pour l'agriculture, la sylviculture, l'horticulture ou l'apiculture, n.d.a.")</f>
        <v xml:space="preserve">   Machines et appareils pour l'agriculture, la sylviculture, l'horticulture ou l'apiculture, n.d.a.</v>
      </c>
      <c r="C2394">
        <v>959944</v>
      </c>
      <c r="D2394">
        <v>1221</v>
      </c>
    </row>
    <row r="2395" spans="1:4" x14ac:dyDescent="0.25">
      <c r="A2395" t="str">
        <f>T("   843699")</f>
        <v xml:space="preserve">   843699</v>
      </c>
      <c r="B2395" t="str">
        <f>T("   Parties de machines et appareils pour l'agriculture, la sylviculture, l'horticulture ou l'apiculture, n.d.a.")</f>
        <v xml:space="preserve">   Parties de machines et appareils pour l'agriculture, la sylviculture, l'horticulture ou l'apiculture, n.d.a.</v>
      </c>
      <c r="C2395">
        <v>41160641</v>
      </c>
      <c r="D2395">
        <v>43467</v>
      </c>
    </row>
    <row r="2396" spans="1:4" x14ac:dyDescent="0.25">
      <c r="A2396" t="str">
        <f>T("   843780")</f>
        <v xml:space="preserve">   843780</v>
      </c>
      <c r="B2396" t="s">
        <v>439</v>
      </c>
      <c r="C2396">
        <v>2606063</v>
      </c>
      <c r="D2396">
        <v>500</v>
      </c>
    </row>
    <row r="2397" spans="1:4" x14ac:dyDescent="0.25">
      <c r="A2397" t="str">
        <f>T("   843810")</f>
        <v xml:space="preserve">   843810</v>
      </c>
      <c r="B2397" t="s">
        <v>440</v>
      </c>
      <c r="C2397">
        <v>223257505</v>
      </c>
      <c r="D2397">
        <v>133301</v>
      </c>
    </row>
    <row r="2398" spans="1:4" x14ac:dyDescent="0.25">
      <c r="A2398" t="str">
        <f>T("   843840")</f>
        <v xml:space="preserve">   843840</v>
      </c>
      <c r="B2398"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2398">
        <v>14711376</v>
      </c>
      <c r="D2398">
        <v>11143</v>
      </c>
    </row>
    <row r="2399" spans="1:4" x14ac:dyDescent="0.25">
      <c r="A2399" t="str">
        <f>T("   843880")</f>
        <v xml:space="preserve">   843880</v>
      </c>
      <c r="B2399" t="str">
        <f>T("   Machines et appareils pour la préparation ou la fabrication industrielles d'aliments ou de boissons, n.d.a.")</f>
        <v xml:space="preserve">   Machines et appareils pour la préparation ou la fabrication industrielles d'aliments ou de boissons, n.d.a.</v>
      </c>
      <c r="C2399">
        <v>8137358249</v>
      </c>
      <c r="D2399">
        <v>3718470</v>
      </c>
    </row>
    <row r="2400" spans="1:4" x14ac:dyDescent="0.25">
      <c r="A2400" t="str">
        <f>T("   843890")</f>
        <v xml:space="preserve">   843890</v>
      </c>
      <c r="B2400"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2400">
        <v>120583877</v>
      </c>
      <c r="D2400">
        <v>30390</v>
      </c>
    </row>
    <row r="2401" spans="1:4" x14ac:dyDescent="0.25">
      <c r="A2401" t="str">
        <f>T("   844010")</f>
        <v xml:space="preserve">   844010</v>
      </c>
      <c r="B2401" t="s">
        <v>441</v>
      </c>
      <c r="C2401">
        <v>23402506</v>
      </c>
      <c r="D2401">
        <v>11657</v>
      </c>
    </row>
    <row r="2402" spans="1:4" x14ac:dyDescent="0.25">
      <c r="A2402" t="str">
        <f>T("   844120")</f>
        <v xml:space="preserve">   844120</v>
      </c>
      <c r="B2402" t="str">
        <f>T("   Machines pour la fabrication de sacs, sachets ou enveloppes en pâte à papier, papier ou carton (sauf machines à coudre et machines à placer les oeillets)")</f>
        <v xml:space="preserve">   Machines pour la fabrication de sacs, sachets ou enveloppes en pâte à papier, papier ou carton (sauf machines à coudre et machines à placer les oeillets)</v>
      </c>
      <c r="C2402">
        <v>992711</v>
      </c>
      <c r="D2402">
        <v>4770</v>
      </c>
    </row>
    <row r="2403" spans="1:4" x14ac:dyDescent="0.25">
      <c r="A2403" t="str">
        <f>T("   844180")</f>
        <v xml:space="preserve">   844180</v>
      </c>
      <c r="B2403" t="str">
        <f>T("   Machines et appareils pour le travail de la pâte à papier, du papier ou du carton, n.d.a.")</f>
        <v xml:space="preserve">   Machines et appareils pour le travail de la pâte à papier, du papier ou du carton, n.d.a.</v>
      </c>
      <c r="C2403">
        <v>4834070</v>
      </c>
      <c r="D2403">
        <v>3100</v>
      </c>
    </row>
    <row r="2404" spans="1:4" x14ac:dyDescent="0.25">
      <c r="A2404" t="str">
        <f>T("   844319")</f>
        <v xml:space="preserve">   844319</v>
      </c>
      <c r="B2404" t="s">
        <v>443</v>
      </c>
      <c r="C2404">
        <v>16858222</v>
      </c>
      <c r="D2404">
        <v>7990</v>
      </c>
    </row>
    <row r="2405" spans="1:4" x14ac:dyDescent="0.25">
      <c r="A2405" t="str">
        <f>T("   844332")</f>
        <v xml:space="preserve">   844332</v>
      </c>
      <c r="B2405" t="str">
        <f>T("   MACHINES QUI ASSURENT SEULEMENT UNE DES FONCTIONS IMPRESSION, COPIE OU TRANSMISSION DE TÉLÉCOPIE, APTES À ÊTRE CONNECTÉES À UNE MACHINE AUTOMATIQUE DE TRAITEMENT DE L'INFORMATION OU À UN RÉSEAU")</f>
        <v xml:space="preserve">   MACHINES QUI ASSURENT SEULEMENT UNE DES FONCTIONS IMPRESSION, COPIE OU TRANSMISSION DE TÉLÉCOPIE, APTES À ÊTRE CONNECTÉES À UNE MACHINE AUTOMATIQUE DE TRAITEMENT DE L'INFORMATION OU À UN RÉSEAU</v>
      </c>
      <c r="C2405">
        <v>4200504</v>
      </c>
      <c r="D2405">
        <v>750</v>
      </c>
    </row>
    <row r="2406" spans="1:4" x14ac:dyDescent="0.25">
      <c r="A2406" t="str">
        <f>T("   844339")</f>
        <v xml:space="preserve">   844339</v>
      </c>
      <c r="B2406" t="s">
        <v>444</v>
      </c>
      <c r="C2406">
        <v>4299818</v>
      </c>
      <c r="D2406">
        <v>11500</v>
      </c>
    </row>
    <row r="2407" spans="1:4" x14ac:dyDescent="0.25">
      <c r="A2407" t="str">
        <f>T("   844359")</f>
        <v xml:space="preserve">   844359</v>
      </c>
      <c r="B2407" t="s">
        <v>445</v>
      </c>
      <c r="C2407">
        <v>149200</v>
      </c>
      <c r="D2407">
        <v>45</v>
      </c>
    </row>
    <row r="2408" spans="1:4" x14ac:dyDescent="0.25">
      <c r="A2408" t="str">
        <f>T("   844391")</f>
        <v xml:space="preserve">   844391</v>
      </c>
      <c r="B2408"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2408">
        <v>7163728</v>
      </c>
      <c r="D2408">
        <v>9473</v>
      </c>
    </row>
    <row r="2409" spans="1:4" x14ac:dyDescent="0.25">
      <c r="A2409" t="str">
        <f>T("   844590")</f>
        <v xml:space="preserve">   844590</v>
      </c>
      <c r="B2409" t="s">
        <v>446</v>
      </c>
      <c r="C2409">
        <v>438148</v>
      </c>
      <c r="D2409">
        <v>200</v>
      </c>
    </row>
    <row r="2410" spans="1:4" x14ac:dyDescent="0.25">
      <c r="A2410" t="str">
        <f>T("   844720")</f>
        <v xml:space="preserve">   844720</v>
      </c>
      <c r="B2410" t="str">
        <f>T("   Métiers à bonneterie rectilignes; machines de couture-tricotage")</f>
        <v xml:space="preserve">   Métiers à bonneterie rectilignes; machines de couture-tricotage</v>
      </c>
      <c r="C2410">
        <v>2415237</v>
      </c>
      <c r="D2410">
        <v>2400</v>
      </c>
    </row>
    <row r="2411" spans="1:4" x14ac:dyDescent="0.25">
      <c r="A2411" t="str">
        <f>T("   844790")</f>
        <v xml:space="preserve">   844790</v>
      </c>
      <c r="B2411" t="str">
        <f>T("   Machines et métiers à guipure, à tulle, à dentelle, à broderie, à passementerie, à tresses, à filet ou à touffeter (sauf couso-brodeurs)")</f>
        <v xml:space="preserve">   Machines et métiers à guipure, à tulle, à dentelle, à broderie, à passementerie, à tresses, à filet ou à touffeter (sauf couso-brodeurs)</v>
      </c>
      <c r="C2411">
        <v>52528</v>
      </c>
      <c r="D2411">
        <v>31</v>
      </c>
    </row>
    <row r="2412" spans="1:4" x14ac:dyDescent="0.25">
      <c r="A2412" t="str">
        <f>T("   844820")</f>
        <v xml:space="preserve">   844820</v>
      </c>
      <c r="B2412"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2412">
        <v>80010059</v>
      </c>
      <c r="D2412">
        <v>62070</v>
      </c>
    </row>
    <row r="2413" spans="1:4" x14ac:dyDescent="0.25">
      <c r="A2413" t="str">
        <f>T("   845019")</f>
        <v xml:space="preserve">   845019</v>
      </c>
      <c r="B2413"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2413">
        <v>7426364</v>
      </c>
      <c r="D2413">
        <v>12915</v>
      </c>
    </row>
    <row r="2414" spans="1:4" x14ac:dyDescent="0.25">
      <c r="A2414" t="str">
        <f>T("   845020")</f>
        <v xml:space="preserve">   845020</v>
      </c>
      <c r="B2414" t="str">
        <f>T("   Machines à laver le linge, capacité unitaire en poids de linge sec &gt; 10 kg")</f>
        <v xml:space="preserve">   Machines à laver le linge, capacité unitaire en poids de linge sec &gt; 10 kg</v>
      </c>
      <c r="C2414">
        <v>1651854</v>
      </c>
      <c r="D2414">
        <v>700</v>
      </c>
    </row>
    <row r="2415" spans="1:4" x14ac:dyDescent="0.25">
      <c r="A2415" t="str">
        <f>T("   845121")</f>
        <v xml:space="preserve">   845121</v>
      </c>
      <c r="B2415" t="str">
        <f>T("   Machines à sécher, capacité unitaire en poids de linge sec &lt;= 10 kg (à l'excl. des essoreuses centrifuges)")</f>
        <v xml:space="preserve">   Machines à sécher, capacité unitaire en poids de linge sec &lt;= 10 kg (à l'excl. des essoreuses centrifuges)</v>
      </c>
      <c r="C2415">
        <v>295182</v>
      </c>
      <c r="D2415">
        <v>430</v>
      </c>
    </row>
    <row r="2416" spans="1:4" x14ac:dyDescent="0.25">
      <c r="A2416" t="str">
        <f>T("   845129")</f>
        <v xml:space="preserve">   845129</v>
      </c>
      <c r="B2416"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2416">
        <v>639960</v>
      </c>
      <c r="D2416">
        <v>539</v>
      </c>
    </row>
    <row r="2417" spans="1:4" x14ac:dyDescent="0.25">
      <c r="A2417" t="str">
        <f>T("   845130")</f>
        <v xml:space="preserve">   845130</v>
      </c>
      <c r="B2417" t="str">
        <f>T("   Machines et presses à repasser, y.c. les presses à fixer (à l'excl. des calandres à catir ou à repasser)")</f>
        <v xml:space="preserve">   Machines et presses à repasser, y.c. les presses à fixer (à l'excl. des calandres à catir ou à repasser)</v>
      </c>
      <c r="C2417">
        <v>557367</v>
      </c>
      <c r="D2417">
        <v>993</v>
      </c>
    </row>
    <row r="2418" spans="1:4" x14ac:dyDescent="0.25">
      <c r="A2418" t="str">
        <f>T("   845190")</f>
        <v xml:space="preserve">   845190</v>
      </c>
      <c r="B2418" t="s">
        <v>448</v>
      </c>
      <c r="C2418">
        <v>12533572</v>
      </c>
      <c r="D2418">
        <v>20149</v>
      </c>
    </row>
    <row r="2419" spans="1:4" x14ac:dyDescent="0.25">
      <c r="A2419" t="str">
        <f>T("   845210")</f>
        <v xml:space="preserve">   845210</v>
      </c>
      <c r="B2419" t="str">
        <f>T("   Machines à coudre de type ménager")</f>
        <v xml:space="preserve">   Machines à coudre de type ménager</v>
      </c>
      <c r="C2419">
        <v>223244680</v>
      </c>
      <c r="D2419">
        <v>361668</v>
      </c>
    </row>
    <row r="2420" spans="1:4" x14ac:dyDescent="0.25">
      <c r="A2420" t="str">
        <f>T("   845221")</f>
        <v xml:space="preserve">   845221</v>
      </c>
      <c r="B2420" t="str">
        <f>T("   Unités automatiques de machines à coudre, de type industriel")</f>
        <v xml:space="preserve">   Unités automatiques de machines à coudre, de type industriel</v>
      </c>
      <c r="C2420">
        <v>340562</v>
      </c>
      <c r="D2420">
        <v>400</v>
      </c>
    </row>
    <row r="2421" spans="1:4" x14ac:dyDescent="0.25">
      <c r="A2421" t="str">
        <f>T("   845229")</f>
        <v xml:space="preserve">   845229</v>
      </c>
      <c r="B2421" t="str">
        <f>T("   Machines à coudre de type industriel (sauf unités automatiques)")</f>
        <v xml:space="preserve">   Machines à coudre de type industriel (sauf unités automatiques)</v>
      </c>
      <c r="C2421">
        <v>17952702</v>
      </c>
      <c r="D2421">
        <v>36131</v>
      </c>
    </row>
    <row r="2422" spans="1:4" x14ac:dyDescent="0.25">
      <c r="A2422" t="str">
        <f>T("   845230")</f>
        <v xml:space="preserve">   845230</v>
      </c>
      <c r="B2422" t="str">
        <f>T("   Aiguilles pour machines à coudre")</f>
        <v xml:space="preserve">   Aiguilles pour machines à coudre</v>
      </c>
      <c r="C2422">
        <v>287742</v>
      </c>
      <c r="D2422">
        <v>729</v>
      </c>
    </row>
    <row r="2423" spans="1:4" x14ac:dyDescent="0.25">
      <c r="A2423" t="str">
        <f>T("   845290")</f>
        <v xml:space="preserve">   845290</v>
      </c>
      <c r="B2423" t="str">
        <f>T("   Parties de machines à coudre, n.d.a.")</f>
        <v xml:space="preserve">   Parties de machines à coudre, n.d.a.</v>
      </c>
      <c r="C2423">
        <v>376728</v>
      </c>
      <c r="D2423">
        <v>631</v>
      </c>
    </row>
    <row r="2424" spans="1:4" x14ac:dyDescent="0.25">
      <c r="A2424" t="str">
        <f>T("   845929")</f>
        <v xml:space="preserve">   845929</v>
      </c>
      <c r="B2424" t="s">
        <v>450</v>
      </c>
      <c r="C2424">
        <v>719356</v>
      </c>
      <c r="D2424">
        <v>425</v>
      </c>
    </row>
    <row r="2425" spans="1:4" x14ac:dyDescent="0.25">
      <c r="A2425" t="str">
        <f>T("   845969")</f>
        <v xml:space="preserve">   845969</v>
      </c>
      <c r="B2425"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2425">
        <v>15041821</v>
      </c>
      <c r="D2425">
        <v>33300</v>
      </c>
    </row>
    <row r="2426" spans="1:4" x14ac:dyDescent="0.25">
      <c r="A2426" t="str">
        <f>T("   846150")</f>
        <v xml:space="preserve">   846150</v>
      </c>
      <c r="B2426" t="str">
        <f>T("   Machines à scier ou à tronçonner, pour le travail des métaux (autres que l'outillage à main)")</f>
        <v xml:space="preserve">   Machines à scier ou à tronçonner, pour le travail des métaux (autres que l'outillage à main)</v>
      </c>
      <c r="C2426">
        <v>5096270</v>
      </c>
      <c r="D2426">
        <v>4509</v>
      </c>
    </row>
    <row r="2427" spans="1:4" x14ac:dyDescent="0.25">
      <c r="A2427" t="str">
        <f>T("   846229")</f>
        <v xml:space="preserve">   846229</v>
      </c>
      <c r="B2427"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2427">
        <v>7992840</v>
      </c>
      <c r="D2427">
        <v>13450</v>
      </c>
    </row>
    <row r="2428" spans="1:4" x14ac:dyDescent="0.25">
      <c r="A2428" t="str">
        <f>T("   846490")</f>
        <v xml:space="preserve">   846490</v>
      </c>
      <c r="B2428" t="s">
        <v>452</v>
      </c>
      <c r="C2428">
        <v>13067613</v>
      </c>
      <c r="D2428">
        <v>16088</v>
      </c>
    </row>
    <row r="2429" spans="1:4" x14ac:dyDescent="0.25">
      <c r="A2429" t="str">
        <f>T("   846591")</f>
        <v xml:space="preserve">   846591</v>
      </c>
      <c r="B2429" t="str">
        <f>T("   Machines à scier, pour le travail du bois, des matières plastiques dures, etc. (autres que pour emploi à la main)")</f>
        <v xml:space="preserve">   Machines à scier, pour le travail du bois, des matières plastiques dures, etc. (autres que pour emploi à la main)</v>
      </c>
      <c r="C2429">
        <v>33880498</v>
      </c>
      <c r="D2429">
        <v>53240</v>
      </c>
    </row>
    <row r="2430" spans="1:4" x14ac:dyDescent="0.25">
      <c r="A2430" t="str">
        <f>T("   846595")</f>
        <v xml:space="preserve">   846595</v>
      </c>
      <c r="B2430" t="s">
        <v>454</v>
      </c>
      <c r="C2430">
        <v>3207793</v>
      </c>
      <c r="D2430">
        <v>5000</v>
      </c>
    </row>
    <row r="2431" spans="1:4" x14ac:dyDescent="0.25">
      <c r="A2431" t="str">
        <f>T("   846599")</f>
        <v xml:space="preserve">   846599</v>
      </c>
      <c r="B2431" t="s">
        <v>455</v>
      </c>
      <c r="C2431">
        <v>54659765</v>
      </c>
      <c r="D2431">
        <v>45803</v>
      </c>
    </row>
    <row r="2432" spans="1:4" x14ac:dyDescent="0.25">
      <c r="A2432" t="str">
        <f>T("   846620")</f>
        <v xml:space="preserve">   846620</v>
      </c>
      <c r="B2432" t="str">
        <f>T("   Porte-pièces pour machines-outils")</f>
        <v xml:space="preserve">   Porte-pièces pour machines-outils</v>
      </c>
      <c r="C2432">
        <v>800000</v>
      </c>
      <c r="D2432">
        <v>800</v>
      </c>
    </row>
    <row r="2433" spans="1:4" x14ac:dyDescent="0.25">
      <c r="A2433" t="str">
        <f>T("   846692")</f>
        <v xml:space="preserve">   846692</v>
      </c>
      <c r="B2433" t="str">
        <f>T("   Parties et accessoires pour machines-outils pour le travail du bois, des matières plastiques dures, etc., n.d.a.")</f>
        <v xml:space="preserve">   Parties et accessoires pour machines-outils pour le travail du bois, des matières plastiques dures, etc., n.d.a.</v>
      </c>
      <c r="C2433">
        <v>34488707</v>
      </c>
      <c r="D2433">
        <v>43831</v>
      </c>
    </row>
    <row r="2434" spans="1:4" x14ac:dyDescent="0.25">
      <c r="A2434" t="str">
        <f>T("   846799")</f>
        <v xml:space="preserve">   846799</v>
      </c>
      <c r="B2434" t="str">
        <f>T("   Parties d'outils pour emploi à la main, hydrauliques ou à moteur électrique ou non électrique incorporé, n.d.a.")</f>
        <v xml:space="preserve">   Parties d'outils pour emploi à la main, hydrauliques ou à moteur électrique ou non électrique incorporé, n.d.a.</v>
      </c>
      <c r="C2434">
        <v>1077435</v>
      </c>
      <c r="D2434">
        <v>130</v>
      </c>
    </row>
    <row r="2435" spans="1:4" x14ac:dyDescent="0.25">
      <c r="A2435" t="str">
        <f>T("   846880")</f>
        <v xml:space="preserve">   846880</v>
      </c>
      <c r="B2435"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2435">
        <v>1336727</v>
      </c>
      <c r="D2435">
        <v>1763</v>
      </c>
    </row>
    <row r="2436" spans="1:4" x14ac:dyDescent="0.25">
      <c r="A2436" t="str">
        <f>T("   847029")</f>
        <v xml:space="preserve">   847029</v>
      </c>
      <c r="B2436" t="str">
        <f>T("   Machines à calculer électroniques sans organe imprimant, raccordées au réseau (à l'excl. des machines automatiques de traitement de l'information du n° 8471)")</f>
        <v xml:space="preserve">   Machines à calculer électroniques sans organe imprimant, raccordées au réseau (à l'excl. des machines automatiques de traitement de l'information du n° 8471)</v>
      </c>
      <c r="C2436">
        <v>104954</v>
      </c>
      <c r="D2436">
        <v>190</v>
      </c>
    </row>
    <row r="2437" spans="1:4" x14ac:dyDescent="0.25">
      <c r="A2437" t="str">
        <f>T("   847130")</f>
        <v xml:space="preserve">   847130</v>
      </c>
      <c r="B2437"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437">
        <v>71406032</v>
      </c>
      <c r="D2437">
        <v>24386</v>
      </c>
    </row>
    <row r="2438" spans="1:4" x14ac:dyDescent="0.25">
      <c r="A2438" t="str">
        <f>T("   847141")</f>
        <v xml:space="preserve">   847141</v>
      </c>
      <c r="B2438" t="s">
        <v>458</v>
      </c>
      <c r="C2438">
        <v>8942216</v>
      </c>
      <c r="D2438">
        <v>15874</v>
      </c>
    </row>
    <row r="2439" spans="1:4" x14ac:dyDescent="0.25">
      <c r="A2439" t="str">
        <f>T("   847149")</f>
        <v xml:space="preserve">   847149</v>
      </c>
      <c r="B2439" t="s">
        <v>459</v>
      </c>
      <c r="C2439">
        <v>3527676</v>
      </c>
      <c r="D2439">
        <v>11187</v>
      </c>
    </row>
    <row r="2440" spans="1:4" x14ac:dyDescent="0.25">
      <c r="A2440" t="str">
        <f>T("   847180")</f>
        <v xml:space="preserve">   847180</v>
      </c>
      <c r="B244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2440">
        <v>26393036</v>
      </c>
      <c r="D2440">
        <v>11135</v>
      </c>
    </row>
    <row r="2441" spans="1:4" x14ac:dyDescent="0.25">
      <c r="A2441" t="str">
        <f>T("   847190")</f>
        <v xml:space="preserve">   847190</v>
      </c>
      <c r="B244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441">
        <v>2073405</v>
      </c>
      <c r="D2441">
        <v>4418</v>
      </c>
    </row>
    <row r="2442" spans="1:4" x14ac:dyDescent="0.25">
      <c r="A2442" t="str">
        <f>T("   847290")</f>
        <v xml:space="preserve">   847290</v>
      </c>
      <c r="B2442" t="str">
        <f>T("   Machines et appareils de bureau, n.d.a.")</f>
        <v xml:space="preserve">   Machines et appareils de bureau, n.d.a.</v>
      </c>
      <c r="C2442">
        <v>8550326</v>
      </c>
      <c r="D2442">
        <v>11692.68</v>
      </c>
    </row>
    <row r="2443" spans="1:4" x14ac:dyDescent="0.25">
      <c r="A2443" t="str">
        <f>T("   847329")</f>
        <v xml:space="preserve">   847329</v>
      </c>
      <c r="B2443" t="str">
        <f>T("   Parties et accessoires pour machines à calculer non-électroniques, machines comptables, caisses enregistreuses ou pour autres machines à dispositif de calcul du n° 8470, n.d.a.")</f>
        <v xml:space="preserve">   Parties et accessoires pour machines à calculer non-électroniques, machines comptables, caisses enregistreuses ou pour autres machines à dispositif de calcul du n° 8470, n.d.a.</v>
      </c>
      <c r="C2443">
        <v>400174</v>
      </c>
      <c r="D2443">
        <v>2095</v>
      </c>
    </row>
    <row r="2444" spans="1:4" x14ac:dyDescent="0.25">
      <c r="A2444" t="str">
        <f>T("   847330")</f>
        <v xml:space="preserve">   847330</v>
      </c>
      <c r="B2444" t="str">
        <f>T("   Parties et accessoires pour machines automatiques de traitement de l'information ou pour autres machines du n° 8471, n.d.a.")</f>
        <v xml:space="preserve">   Parties et accessoires pour machines automatiques de traitement de l'information ou pour autres machines du n° 8471, n.d.a.</v>
      </c>
      <c r="C2444">
        <v>32514479</v>
      </c>
      <c r="D2444">
        <v>71605</v>
      </c>
    </row>
    <row r="2445" spans="1:4" x14ac:dyDescent="0.25">
      <c r="A2445" t="str">
        <f>T("   847340")</f>
        <v xml:space="preserve">   847340</v>
      </c>
      <c r="B2445" t="str">
        <f>T("   Parties et accessoires pour autres machines et appareils de bureau du n° 8472, n.d.a.")</f>
        <v xml:space="preserve">   Parties et accessoires pour autres machines et appareils de bureau du n° 8472, n.d.a.</v>
      </c>
      <c r="C2445">
        <v>599996</v>
      </c>
      <c r="D2445">
        <v>2500</v>
      </c>
    </row>
    <row r="2446" spans="1:4" x14ac:dyDescent="0.25">
      <c r="A2446" t="str">
        <f>T("   847350")</f>
        <v xml:space="preserve">   847350</v>
      </c>
      <c r="B2446"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2446">
        <v>499819</v>
      </c>
      <c r="D2446">
        <v>850</v>
      </c>
    </row>
    <row r="2447" spans="1:4" x14ac:dyDescent="0.25">
      <c r="A2447" t="str">
        <f>T("   847410")</f>
        <v xml:space="preserve">   847410</v>
      </c>
      <c r="B2447"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2447">
        <v>244000</v>
      </c>
      <c r="D2447">
        <v>100</v>
      </c>
    </row>
    <row r="2448" spans="1:4" x14ac:dyDescent="0.25">
      <c r="A2448" t="str">
        <f>T("   847420")</f>
        <v xml:space="preserve">   847420</v>
      </c>
      <c r="B2448" t="str">
        <f>T("   Machines et appareils à concasser, broyer ou pulvériser les matières minérales solides")</f>
        <v xml:space="preserve">   Machines et appareils à concasser, broyer ou pulvériser les matières minérales solides</v>
      </c>
      <c r="C2448">
        <v>3269459447</v>
      </c>
      <c r="D2448">
        <v>529025</v>
      </c>
    </row>
    <row r="2449" spans="1:4" x14ac:dyDescent="0.25">
      <c r="A2449" t="str">
        <f>T("   847431")</f>
        <v xml:space="preserve">   847431</v>
      </c>
      <c r="B244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2449">
        <v>128575343</v>
      </c>
      <c r="D2449">
        <v>90985</v>
      </c>
    </row>
    <row r="2450" spans="1:4" x14ac:dyDescent="0.25">
      <c r="A2450" t="str">
        <f>T("   847432")</f>
        <v xml:space="preserve">   847432</v>
      </c>
      <c r="B2450" t="str">
        <f>T("   Machines à mélanger les matières minérales au bitume")</f>
        <v xml:space="preserve">   Machines à mélanger les matières minérales au bitume</v>
      </c>
      <c r="C2450">
        <v>221530383</v>
      </c>
      <c r="D2450">
        <v>185100</v>
      </c>
    </row>
    <row r="2451" spans="1:4" x14ac:dyDescent="0.25">
      <c r="A2451" t="str">
        <f>T("   847439")</f>
        <v xml:space="preserve">   847439</v>
      </c>
      <c r="B245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2451">
        <v>94171279</v>
      </c>
      <c r="D2451">
        <v>173125</v>
      </c>
    </row>
    <row r="2452" spans="1:4" x14ac:dyDescent="0.25">
      <c r="A2452" t="str">
        <f>T("   847480")</f>
        <v xml:space="preserve">   847480</v>
      </c>
      <c r="B2452" t="s">
        <v>462</v>
      </c>
      <c r="C2452">
        <v>3055929</v>
      </c>
      <c r="D2452">
        <v>732</v>
      </c>
    </row>
    <row r="2453" spans="1:4" x14ac:dyDescent="0.25">
      <c r="A2453" t="str">
        <f>T("   847490")</f>
        <v xml:space="preserve">   847490</v>
      </c>
      <c r="B2453" t="str">
        <f>T("   Parties des machines et appareils pour le travail des matières minérales du n° 8474, n.d.a.")</f>
        <v xml:space="preserve">   Parties des machines et appareils pour le travail des matières minérales du n° 8474, n.d.a.</v>
      </c>
      <c r="C2453">
        <v>1212854816</v>
      </c>
      <c r="D2453">
        <v>796498</v>
      </c>
    </row>
    <row r="2454" spans="1:4" x14ac:dyDescent="0.25">
      <c r="A2454" t="str">
        <f>T("   847689")</f>
        <v xml:space="preserve">   847689</v>
      </c>
      <c r="B2454" t="str">
        <f>T("   Machines automatiques de vente de produits, sans dispositif de chauffage ou de réfrigération et machines pour changer la monnaie (sauf machines automatiques de vente de boissons)")</f>
        <v xml:space="preserve">   Machines automatiques de vente de produits, sans dispositif de chauffage ou de réfrigération et machines pour changer la monnaie (sauf machines automatiques de vente de boissons)</v>
      </c>
      <c r="C2454">
        <v>5530628</v>
      </c>
      <c r="D2454">
        <v>2400</v>
      </c>
    </row>
    <row r="2455" spans="1:4" x14ac:dyDescent="0.25">
      <c r="A2455" t="str">
        <f>T("   847720")</f>
        <v xml:space="preserve">   847720</v>
      </c>
      <c r="B2455" t="str">
        <f>T("   Extrudeuses pour le travail du caoutchouc ou des matières plastiques ou pour la fabrication de produits en ces matières")</f>
        <v xml:space="preserve">   Extrudeuses pour le travail du caoutchouc ou des matières plastiques ou pour la fabrication de produits en ces matières</v>
      </c>
      <c r="C2455">
        <v>41618185</v>
      </c>
      <c r="D2455">
        <v>42100</v>
      </c>
    </row>
    <row r="2456" spans="1:4" x14ac:dyDescent="0.25">
      <c r="A2456" t="str">
        <f>T("   847759")</f>
        <v xml:space="preserve">   847759</v>
      </c>
      <c r="B2456" t="s">
        <v>463</v>
      </c>
      <c r="C2456">
        <v>852748</v>
      </c>
      <c r="D2456">
        <v>2500</v>
      </c>
    </row>
    <row r="2457" spans="1:4" x14ac:dyDescent="0.25">
      <c r="A2457" t="str">
        <f>T("   847780")</f>
        <v xml:space="preserve">   847780</v>
      </c>
      <c r="B2457"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2457">
        <v>6402265</v>
      </c>
      <c r="D2457">
        <v>5100</v>
      </c>
    </row>
    <row r="2458" spans="1:4" x14ac:dyDescent="0.25">
      <c r="A2458" t="str">
        <f>T("   847790")</f>
        <v xml:space="preserve">   847790</v>
      </c>
      <c r="B2458"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2458">
        <v>2154995</v>
      </c>
      <c r="D2458">
        <v>3569.3</v>
      </c>
    </row>
    <row r="2459" spans="1:4" x14ac:dyDescent="0.25">
      <c r="A2459" t="str">
        <f>T("   847910")</f>
        <v xml:space="preserve">   847910</v>
      </c>
      <c r="B2459" t="str">
        <f>T("   Machines et appareils pour les travaux publics, le bâtiment ou les travaux analogues, n.d.a.")</f>
        <v xml:space="preserve">   Machines et appareils pour les travaux publics, le bâtiment ou les travaux analogues, n.d.a.</v>
      </c>
      <c r="C2459">
        <v>1620948</v>
      </c>
      <c r="D2459">
        <v>105</v>
      </c>
    </row>
    <row r="2460" spans="1:4" x14ac:dyDescent="0.25">
      <c r="A2460" t="str">
        <f>T("   847920")</f>
        <v xml:space="preserve">   847920</v>
      </c>
      <c r="B2460" t="s">
        <v>464</v>
      </c>
      <c r="C2460">
        <v>1362644</v>
      </c>
      <c r="D2460">
        <v>4050</v>
      </c>
    </row>
    <row r="2461" spans="1:4" x14ac:dyDescent="0.25">
      <c r="A2461" t="str">
        <f>T("   847982")</f>
        <v xml:space="preserve">   847982</v>
      </c>
      <c r="B2461"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461">
        <v>6314800</v>
      </c>
      <c r="D2461">
        <v>10601</v>
      </c>
    </row>
    <row r="2462" spans="1:4" x14ac:dyDescent="0.25">
      <c r="A2462" t="str">
        <f>T("   847989")</f>
        <v xml:space="preserve">   847989</v>
      </c>
      <c r="B2462" t="str">
        <f>T("   Machines et appareils, y.c. les appareils mécaniques, n.d.a.")</f>
        <v xml:space="preserve">   Machines et appareils, y.c. les appareils mécaniques, n.d.a.</v>
      </c>
      <c r="C2462">
        <v>67581510</v>
      </c>
      <c r="D2462">
        <v>30362</v>
      </c>
    </row>
    <row r="2463" spans="1:4" x14ac:dyDescent="0.25">
      <c r="A2463" t="str">
        <f>T("   847990")</f>
        <v xml:space="preserve">   847990</v>
      </c>
      <c r="B2463" t="str">
        <f>T("   Parties de machines et appareils, y.c. les appareils mécaniques, n.d.a.")</f>
        <v xml:space="preserve">   Parties de machines et appareils, y.c. les appareils mécaniques, n.d.a.</v>
      </c>
      <c r="C2463">
        <v>45262217</v>
      </c>
      <c r="D2463">
        <v>23375.599999999999</v>
      </c>
    </row>
    <row r="2464" spans="1:4" x14ac:dyDescent="0.25">
      <c r="A2464" t="str">
        <f>T("   848071")</f>
        <v xml:space="preserve">   848071</v>
      </c>
      <c r="B2464" t="str">
        <f>T("   Moules pour le caoutchouc ou les matières plastiques, pour le moulage par injection ou par compression")</f>
        <v xml:space="preserve">   Moules pour le caoutchouc ou les matières plastiques, pour le moulage par injection ou par compression</v>
      </c>
      <c r="C2464">
        <v>97412715</v>
      </c>
      <c r="D2464">
        <v>70663</v>
      </c>
    </row>
    <row r="2465" spans="1:4" x14ac:dyDescent="0.25">
      <c r="A2465" t="str">
        <f>T("   848079")</f>
        <v xml:space="preserve">   848079</v>
      </c>
      <c r="B2465" t="s">
        <v>466</v>
      </c>
      <c r="C2465">
        <v>21157140</v>
      </c>
      <c r="D2465">
        <v>12091</v>
      </c>
    </row>
    <row r="2466" spans="1:4" x14ac:dyDescent="0.25">
      <c r="A2466" t="str">
        <f>T("   848180")</f>
        <v xml:space="preserve">   848180</v>
      </c>
      <c r="B246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2466">
        <v>109994860</v>
      </c>
      <c r="D2466">
        <v>190942</v>
      </c>
    </row>
    <row r="2467" spans="1:4" x14ac:dyDescent="0.25">
      <c r="A2467" t="str">
        <f>T("   848190")</f>
        <v xml:space="preserve">   848190</v>
      </c>
      <c r="B2467" t="str">
        <f>T("   Parties d'articles de robinetterie et organes simil. pour tuyauterie, etc., n.d.a.")</f>
        <v xml:space="preserve">   Parties d'articles de robinetterie et organes simil. pour tuyauterie, etc., n.d.a.</v>
      </c>
      <c r="C2467">
        <v>989607</v>
      </c>
      <c r="D2467">
        <v>5175</v>
      </c>
    </row>
    <row r="2468" spans="1:4" x14ac:dyDescent="0.25">
      <c r="A2468" t="str">
        <f>T("   848280")</f>
        <v xml:space="preserve">   848280</v>
      </c>
      <c r="B2468" t="s">
        <v>467</v>
      </c>
      <c r="C2468">
        <v>990047</v>
      </c>
      <c r="D2468">
        <v>1710</v>
      </c>
    </row>
    <row r="2469" spans="1:4" x14ac:dyDescent="0.25">
      <c r="A2469" t="str">
        <f>T("   848340")</f>
        <v xml:space="preserve">   848340</v>
      </c>
      <c r="B2469" t="s">
        <v>468</v>
      </c>
      <c r="C2469">
        <v>10156884</v>
      </c>
      <c r="D2469">
        <v>1561</v>
      </c>
    </row>
    <row r="2470" spans="1:4" x14ac:dyDescent="0.25">
      <c r="A2470" t="str">
        <f>T("   848490")</f>
        <v xml:space="preserve">   848490</v>
      </c>
      <c r="B2470" t="str">
        <f>T("   Jeux ou assortiments de joints de composition différente présentés en pochettes, enveloppes ou emballages analogues")</f>
        <v xml:space="preserve">   Jeux ou assortiments de joints de composition différente présentés en pochettes, enveloppes ou emballages analogues</v>
      </c>
      <c r="C2470">
        <v>1158839</v>
      </c>
      <c r="D2470">
        <v>93</v>
      </c>
    </row>
    <row r="2471" spans="1:4" x14ac:dyDescent="0.25">
      <c r="A2471" t="str">
        <f>T("   850110")</f>
        <v xml:space="preserve">   850110</v>
      </c>
      <c r="B2471" t="str">
        <f>T("   Moteurs d'une puissance &lt;= 37,5 W")</f>
        <v xml:space="preserve">   Moteurs d'une puissance &lt;= 37,5 W</v>
      </c>
      <c r="C2471">
        <v>407016</v>
      </c>
      <c r="D2471">
        <v>24</v>
      </c>
    </row>
    <row r="2472" spans="1:4" x14ac:dyDescent="0.25">
      <c r="A2472" t="str">
        <f>T("   850131")</f>
        <v xml:space="preserve">   850131</v>
      </c>
      <c r="B2472" t="str">
        <f>T("   Moteurs à courant continu, puissance &lt;= 750 W mais &gt; 37,5 W et génératrices à courant continu, puissance &lt;= 750 W")</f>
        <v xml:space="preserve">   Moteurs à courant continu, puissance &lt;= 750 W mais &gt; 37,5 W et génératrices à courant continu, puissance &lt;= 750 W</v>
      </c>
      <c r="C2472">
        <v>3346458</v>
      </c>
      <c r="D2472">
        <v>1430</v>
      </c>
    </row>
    <row r="2473" spans="1:4" x14ac:dyDescent="0.25">
      <c r="A2473" t="str">
        <f>T("   850132")</f>
        <v xml:space="preserve">   850132</v>
      </c>
      <c r="B2473" t="str">
        <f>T("   Moteurs et génératrices à courant continu, puissance &gt; 750 W mais &lt;= 75 kW")</f>
        <v xml:space="preserve">   Moteurs et génératrices à courant continu, puissance &gt; 750 W mais &lt;= 75 kW</v>
      </c>
      <c r="C2473">
        <v>1055540</v>
      </c>
      <c r="D2473">
        <v>549</v>
      </c>
    </row>
    <row r="2474" spans="1:4" x14ac:dyDescent="0.25">
      <c r="A2474" t="str">
        <f>T("   850151")</f>
        <v xml:space="preserve">   850151</v>
      </c>
      <c r="B2474" t="str">
        <f>T("   Moteurs à courant alternatif, polyphasés, puissance &gt; 37,5 W mais &lt;= 750 W")</f>
        <v xml:space="preserve">   Moteurs à courant alternatif, polyphasés, puissance &gt; 37,5 W mais &lt;= 750 W</v>
      </c>
      <c r="C2474">
        <v>1099937</v>
      </c>
      <c r="D2474">
        <v>750</v>
      </c>
    </row>
    <row r="2475" spans="1:4" x14ac:dyDescent="0.25">
      <c r="A2475" t="str">
        <f>T("   850161")</f>
        <v xml:space="preserve">   850161</v>
      </c>
      <c r="B2475" t="str">
        <f>T("   Alternateurs, puissance &lt;= 75 kVA")</f>
        <v xml:space="preserve">   Alternateurs, puissance &lt;= 75 kVA</v>
      </c>
      <c r="C2475">
        <v>81501257</v>
      </c>
      <c r="D2475">
        <v>13450</v>
      </c>
    </row>
    <row r="2476" spans="1:4" x14ac:dyDescent="0.25">
      <c r="A2476" t="str">
        <f>T("   850211")</f>
        <v xml:space="preserve">   850211</v>
      </c>
      <c r="B2476" t="s">
        <v>470</v>
      </c>
      <c r="C2476">
        <v>464058398</v>
      </c>
      <c r="D2476">
        <v>119918</v>
      </c>
    </row>
    <row r="2477" spans="1:4" x14ac:dyDescent="0.25">
      <c r="A2477" t="str">
        <f>T("   850212")</f>
        <v xml:space="preserve">   850212</v>
      </c>
      <c r="B247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477">
        <v>9021404</v>
      </c>
      <c r="D2477">
        <v>5756</v>
      </c>
    </row>
    <row r="2478" spans="1:4" x14ac:dyDescent="0.25">
      <c r="A2478" t="str">
        <f>T("   850213")</f>
        <v xml:space="preserve">   850213</v>
      </c>
      <c r="B2478" t="s">
        <v>471</v>
      </c>
      <c r="C2478">
        <v>32773497</v>
      </c>
      <c r="D2478">
        <v>6859</v>
      </c>
    </row>
    <row r="2479" spans="1:4" x14ac:dyDescent="0.25">
      <c r="A2479" t="str">
        <f>T("   850220")</f>
        <v xml:space="preserve">   850220</v>
      </c>
      <c r="B2479" t="s">
        <v>472</v>
      </c>
      <c r="C2479">
        <v>18215568</v>
      </c>
      <c r="D2479">
        <v>17172</v>
      </c>
    </row>
    <row r="2480" spans="1:4" x14ac:dyDescent="0.25">
      <c r="A2480" t="str">
        <f>T("   850239")</f>
        <v xml:space="preserve">   850239</v>
      </c>
      <c r="B2480" t="str">
        <f>T("   Groupes électrogènes (autres qu'à énergie éolienne et à moteurs à piston)")</f>
        <v xml:space="preserve">   Groupes électrogènes (autres qu'à énergie éolienne et à moteurs à piston)</v>
      </c>
      <c r="C2480">
        <v>41583907</v>
      </c>
      <c r="D2480">
        <v>23735</v>
      </c>
    </row>
    <row r="2481" spans="1:4" x14ac:dyDescent="0.25">
      <c r="A2481" t="str">
        <f>T("   850300")</f>
        <v xml:space="preserve">   850300</v>
      </c>
      <c r="B248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2481">
        <v>1640486</v>
      </c>
      <c r="D2481">
        <v>1493</v>
      </c>
    </row>
    <row r="2482" spans="1:4" x14ac:dyDescent="0.25">
      <c r="A2482" t="str">
        <f>T("   850421")</f>
        <v xml:space="preserve">   850421</v>
      </c>
      <c r="B2482" t="str">
        <f>T("   Transformateurs à diélectrique liquide, puissance &lt;= 650 kVA")</f>
        <v xml:space="preserve">   Transformateurs à diélectrique liquide, puissance &lt;= 650 kVA</v>
      </c>
      <c r="C2482">
        <v>9724437</v>
      </c>
      <c r="D2482">
        <v>20</v>
      </c>
    </row>
    <row r="2483" spans="1:4" x14ac:dyDescent="0.25">
      <c r="A2483" t="str">
        <f>T("   850423")</f>
        <v xml:space="preserve">   850423</v>
      </c>
      <c r="B2483" t="str">
        <f>T("   Transformateurs à diélectrique liquide, puissance &gt; 10.000 kVA")</f>
        <v xml:space="preserve">   Transformateurs à diélectrique liquide, puissance &gt; 10.000 kVA</v>
      </c>
      <c r="C2483">
        <v>6445850</v>
      </c>
      <c r="D2483">
        <v>6205</v>
      </c>
    </row>
    <row r="2484" spans="1:4" x14ac:dyDescent="0.25">
      <c r="A2484" t="str">
        <f>T("   850432")</f>
        <v xml:space="preserve">   850432</v>
      </c>
      <c r="B2484" t="str">
        <f>T("   Transformateurs à sec, puissance &gt; 1 kVA mais &lt;= 16 kVA")</f>
        <v xml:space="preserve">   Transformateurs à sec, puissance &gt; 1 kVA mais &lt;= 16 kVA</v>
      </c>
      <c r="C2484">
        <v>4367288</v>
      </c>
      <c r="D2484">
        <v>9519</v>
      </c>
    </row>
    <row r="2485" spans="1:4" x14ac:dyDescent="0.25">
      <c r="A2485" t="str">
        <f>T("   850440")</f>
        <v xml:space="preserve">   850440</v>
      </c>
      <c r="B2485" t="str">
        <f>T("   CONVERTISSEURS STATIQUES")</f>
        <v xml:space="preserve">   CONVERTISSEURS STATIQUES</v>
      </c>
      <c r="C2485">
        <v>50721054</v>
      </c>
      <c r="D2485">
        <v>13119</v>
      </c>
    </row>
    <row r="2486" spans="1:4" x14ac:dyDescent="0.25">
      <c r="A2486" t="str">
        <f>T("   850450")</f>
        <v xml:space="preserve">   850450</v>
      </c>
      <c r="B2486" t="str">
        <f>T("   Bobines de réactance et autres selfs (autres que pour lampes ou tubes à décharge)")</f>
        <v xml:space="preserve">   Bobines de réactance et autres selfs (autres que pour lampes ou tubes à décharge)</v>
      </c>
      <c r="C2486">
        <v>564827</v>
      </c>
      <c r="D2486">
        <v>2500</v>
      </c>
    </row>
    <row r="2487" spans="1:4" x14ac:dyDescent="0.25">
      <c r="A2487" t="str">
        <f>T("   850610")</f>
        <v xml:space="preserve">   850610</v>
      </c>
      <c r="B2487" t="str">
        <f>T("   Piles et batteries de piles électriques, au bioxyde de manganèse (sauf hors d'usage)")</f>
        <v xml:space="preserve">   Piles et batteries de piles électriques, au bioxyde de manganèse (sauf hors d'usage)</v>
      </c>
      <c r="C2487">
        <v>768347286</v>
      </c>
      <c r="D2487">
        <v>4711995</v>
      </c>
    </row>
    <row r="2488" spans="1:4" x14ac:dyDescent="0.25">
      <c r="A2488" t="str">
        <f>T("   850630")</f>
        <v xml:space="preserve">   850630</v>
      </c>
      <c r="B2488" t="str">
        <f>T("   Piles et batteries de piles électriques, à l'oxyde de mercure (sauf hors d'usage)")</f>
        <v xml:space="preserve">   Piles et batteries de piles électriques, à l'oxyde de mercure (sauf hors d'usage)</v>
      </c>
      <c r="C2488">
        <v>75628784</v>
      </c>
      <c r="D2488">
        <v>324000</v>
      </c>
    </row>
    <row r="2489" spans="1:4" x14ac:dyDescent="0.25">
      <c r="A2489" t="str">
        <f>T("   850660")</f>
        <v xml:space="preserve">   850660</v>
      </c>
      <c r="B2489" t="str">
        <f>T("   Piles et batteries de piles électriques, à l'air-zinc (sauf hors d'usage)")</f>
        <v xml:space="preserve">   Piles et batteries de piles électriques, à l'air-zinc (sauf hors d'usage)</v>
      </c>
      <c r="C2489">
        <v>25209256</v>
      </c>
      <c r="D2489">
        <v>105120</v>
      </c>
    </row>
    <row r="2490" spans="1:4" x14ac:dyDescent="0.25">
      <c r="A2490" t="str">
        <f>T("   850680")</f>
        <v xml:space="preserve">   850680</v>
      </c>
      <c r="B2490"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490">
        <v>465932528</v>
      </c>
      <c r="D2490">
        <v>2639492</v>
      </c>
    </row>
    <row r="2491" spans="1:4" x14ac:dyDescent="0.25">
      <c r="A2491" t="str">
        <f>T("   850710")</f>
        <v xml:space="preserve">   850710</v>
      </c>
      <c r="B2491" t="str">
        <f>T("   Accumulateurs au plomb, pour le démarrage des moteurs à piston (sauf hors d'usage)")</f>
        <v xml:space="preserve">   Accumulateurs au plomb, pour le démarrage des moteurs à piston (sauf hors d'usage)</v>
      </c>
      <c r="C2491">
        <v>19097973</v>
      </c>
      <c r="D2491">
        <v>75591</v>
      </c>
    </row>
    <row r="2492" spans="1:4" x14ac:dyDescent="0.25">
      <c r="A2492" t="str">
        <f>T("   850720")</f>
        <v xml:space="preserve">   850720</v>
      </c>
      <c r="B2492" t="str">
        <f>T("   Accumulateurs au plomb (sauf hors d'usage et autres que pour le démarrage des moteurs à piston)")</f>
        <v xml:space="preserve">   Accumulateurs au plomb (sauf hors d'usage et autres que pour le démarrage des moteurs à piston)</v>
      </c>
      <c r="C2492">
        <v>6852737</v>
      </c>
      <c r="D2492">
        <v>38534</v>
      </c>
    </row>
    <row r="2493" spans="1:4" x14ac:dyDescent="0.25">
      <c r="A2493" t="str">
        <f>T("   850780")</f>
        <v xml:space="preserve">   850780</v>
      </c>
      <c r="B2493" t="str">
        <f>T("   Accumulateurs électriques (sauf hors d'usage et autres qu'au plomb, au nickel-cadmium ou au nickel-fer)")</f>
        <v xml:space="preserve">   Accumulateurs électriques (sauf hors d'usage et autres qu'au plomb, au nickel-cadmium ou au nickel-fer)</v>
      </c>
      <c r="C2493">
        <v>31114400</v>
      </c>
      <c r="D2493">
        <v>157868</v>
      </c>
    </row>
    <row r="2494" spans="1:4" x14ac:dyDescent="0.25">
      <c r="A2494" t="str">
        <f>T("   850819")</f>
        <v xml:space="preserve">   850819</v>
      </c>
      <c r="B2494" t="str">
        <f>T("   ASPIRATEURS, Y.C. LES ASPIRATEURS DE MATIÈRES SÈCHES ET DE MATIÈRES LIQUIDES, À MOTEUR ÉLECTRIQUE INCORPORÉ (À L'EXCL. DES ASPIRATEURS D'UNE PUISSANCE &lt;= 1 500 W ET DONT LE VOLUME DU RÉSERVOIR &lt;= 20 L)")</f>
        <v xml:space="preserve">   ASPIRATEURS, Y.C. LES ASPIRATEURS DE MATIÈRES SÈCHES ET DE MATIÈRES LIQUIDES, À MOTEUR ÉLECTRIQUE INCORPORÉ (À L'EXCL. DES ASPIRATEURS D'UNE PUISSANCE &lt;= 1 500 W ET DONT LE VOLUME DU RÉSERVOIR &lt;= 20 L)</v>
      </c>
      <c r="C2494">
        <v>1520000</v>
      </c>
      <c r="D2494">
        <v>4850</v>
      </c>
    </row>
    <row r="2495" spans="1:4" x14ac:dyDescent="0.25">
      <c r="A2495" t="str">
        <f>T("   850940")</f>
        <v xml:space="preserve">   850940</v>
      </c>
      <c r="B2495"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2495">
        <v>4625770</v>
      </c>
      <c r="D2495">
        <v>2732</v>
      </c>
    </row>
    <row r="2496" spans="1:4" x14ac:dyDescent="0.25">
      <c r="A2496" t="str">
        <f>T("   850980")</f>
        <v xml:space="preserve">   850980</v>
      </c>
      <c r="B2496" t="s">
        <v>473</v>
      </c>
      <c r="C2496">
        <v>1071183</v>
      </c>
      <c r="D2496">
        <v>1746</v>
      </c>
    </row>
    <row r="2497" spans="1:4" x14ac:dyDescent="0.25">
      <c r="A2497" t="str">
        <f>T("   851110")</f>
        <v xml:space="preserve">   851110</v>
      </c>
      <c r="B2497" t="str">
        <f>T("   Bougies d'allumage pour moteurs à allumage par étincelles ou par compression")</f>
        <v xml:space="preserve">   Bougies d'allumage pour moteurs à allumage par étincelles ou par compression</v>
      </c>
      <c r="C2497">
        <v>5315000</v>
      </c>
      <c r="D2497">
        <v>20000</v>
      </c>
    </row>
    <row r="2498" spans="1:4" x14ac:dyDescent="0.25">
      <c r="A2498" t="str">
        <f>T("   851140")</f>
        <v xml:space="preserve">   851140</v>
      </c>
      <c r="B2498" t="str">
        <f>T("   Démarreurs, même fonctionnant comme génératrices, pour moteurs à allumage par étincelles ou par compression")</f>
        <v xml:space="preserve">   Démarreurs, même fonctionnant comme génératrices, pour moteurs à allumage par étincelles ou par compression</v>
      </c>
      <c r="C2498">
        <v>6515006</v>
      </c>
      <c r="D2498">
        <v>2190</v>
      </c>
    </row>
    <row r="2499" spans="1:4" x14ac:dyDescent="0.25">
      <c r="A2499" t="str">
        <f>T("   851150")</f>
        <v xml:space="preserve">   851150</v>
      </c>
      <c r="B2499"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2499">
        <v>4788968</v>
      </c>
      <c r="D2499">
        <v>14</v>
      </c>
    </row>
    <row r="2500" spans="1:4" x14ac:dyDescent="0.25">
      <c r="A2500" t="str">
        <f>T("   851180")</f>
        <v xml:space="preserve">   851180</v>
      </c>
      <c r="B2500" t="s">
        <v>474</v>
      </c>
      <c r="C2500">
        <v>3542442</v>
      </c>
      <c r="D2500">
        <v>15000</v>
      </c>
    </row>
    <row r="2501" spans="1:4" x14ac:dyDescent="0.25">
      <c r="A2501" t="str">
        <f>T("   851310")</f>
        <v xml:space="preserve">   851310</v>
      </c>
      <c r="B2501" t="str">
        <f>T("   Lampes électriques portatives, destinées à fonctionner au moyen de leur propre source d'énergie")</f>
        <v xml:space="preserve">   Lampes électriques portatives, destinées à fonctionner au moyen de leur propre source d'énergie</v>
      </c>
      <c r="C2501">
        <v>140744681</v>
      </c>
      <c r="D2501">
        <v>461432</v>
      </c>
    </row>
    <row r="2502" spans="1:4" x14ac:dyDescent="0.25">
      <c r="A2502" t="str">
        <f>T("   851539")</f>
        <v xml:space="preserve">   851539</v>
      </c>
      <c r="B2502" t="str">
        <f>T("   MACHINES ET APPAREILS POUR LE SOUDAGE DES MÉTAUX À L'ARC OU AU JET DE PLASMA, NON-AUTOMATIQUES")</f>
        <v xml:space="preserve">   MACHINES ET APPAREILS POUR LE SOUDAGE DES MÉTAUX À L'ARC OU AU JET DE PLASMA, NON-AUTOMATIQUES</v>
      </c>
      <c r="C2502">
        <v>1280378</v>
      </c>
      <c r="D2502">
        <v>3300</v>
      </c>
    </row>
    <row r="2503" spans="1:4" x14ac:dyDescent="0.25">
      <c r="A2503" t="str">
        <f>T("   851580")</f>
        <v xml:space="preserve">   851580</v>
      </c>
      <c r="B2503" t="s">
        <v>477</v>
      </c>
      <c r="C2503">
        <v>150000</v>
      </c>
      <c r="D2503">
        <v>25</v>
      </c>
    </row>
    <row r="2504" spans="1:4" x14ac:dyDescent="0.25">
      <c r="A2504" t="str">
        <f>T("   851610")</f>
        <v xml:space="preserve">   851610</v>
      </c>
      <c r="B2504" t="str">
        <f>T("   Chauffe-eau et thermoplongeurs électriques")</f>
        <v xml:space="preserve">   Chauffe-eau et thermoplongeurs électriques</v>
      </c>
      <c r="C2504">
        <v>2282678</v>
      </c>
      <c r="D2504">
        <v>20160</v>
      </c>
    </row>
    <row r="2505" spans="1:4" x14ac:dyDescent="0.25">
      <c r="A2505" t="str">
        <f>T("   851633")</f>
        <v xml:space="preserve">   851633</v>
      </c>
      <c r="B2505" t="str">
        <f>T("   Appareils électriques pour sécher les mains")</f>
        <v xml:space="preserve">   Appareils électriques pour sécher les mains</v>
      </c>
      <c r="C2505">
        <v>3424529</v>
      </c>
      <c r="D2505">
        <v>8868</v>
      </c>
    </row>
    <row r="2506" spans="1:4" x14ac:dyDescent="0.25">
      <c r="A2506" t="str">
        <f>T("   851640")</f>
        <v xml:space="preserve">   851640</v>
      </c>
      <c r="B2506" t="str">
        <f>T("   Fers à repasser électriques")</f>
        <v xml:space="preserve">   Fers à repasser électriques</v>
      </c>
      <c r="C2506">
        <v>5086130</v>
      </c>
      <c r="D2506">
        <v>11128</v>
      </c>
    </row>
    <row r="2507" spans="1:4" x14ac:dyDescent="0.25">
      <c r="A2507" t="str">
        <f>T("   851650")</f>
        <v xml:space="preserve">   851650</v>
      </c>
      <c r="B2507" t="str">
        <f>T("   Fours à micro-ondes")</f>
        <v xml:space="preserve">   Fours à micro-ondes</v>
      </c>
      <c r="C2507">
        <v>11882129</v>
      </c>
      <c r="D2507">
        <v>16738</v>
      </c>
    </row>
    <row r="2508" spans="1:4" x14ac:dyDescent="0.25">
      <c r="A2508" t="str">
        <f>T("   851660")</f>
        <v xml:space="preserve">   851660</v>
      </c>
      <c r="B250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2508">
        <v>18937373</v>
      </c>
      <c r="D2508">
        <v>36658</v>
      </c>
    </row>
    <row r="2509" spans="1:4" x14ac:dyDescent="0.25">
      <c r="A2509" t="str">
        <f>T("   851671")</f>
        <v xml:space="preserve">   851671</v>
      </c>
      <c r="B2509" t="str">
        <f>T("   Appareils électriques pour la préparation du café ou du thé, pour usages domestiques")</f>
        <v xml:space="preserve">   Appareils électriques pour la préparation du café ou du thé, pour usages domestiques</v>
      </c>
      <c r="C2509">
        <v>512510</v>
      </c>
      <c r="D2509">
        <v>891</v>
      </c>
    </row>
    <row r="2510" spans="1:4" x14ac:dyDescent="0.25">
      <c r="A2510" t="str">
        <f>T("   851672")</f>
        <v xml:space="preserve">   851672</v>
      </c>
      <c r="B2510" t="str">
        <f>T("   Grille-pain électriques, pour usages domestiques")</f>
        <v xml:space="preserve">   Grille-pain électriques, pour usages domestiques</v>
      </c>
      <c r="C2510">
        <v>1078442</v>
      </c>
      <c r="D2510">
        <v>251</v>
      </c>
    </row>
    <row r="2511" spans="1:4" x14ac:dyDescent="0.25">
      <c r="A2511" t="str">
        <f>T("   851679")</f>
        <v xml:space="preserve">   851679</v>
      </c>
      <c r="B2511" t="s">
        <v>478</v>
      </c>
      <c r="C2511">
        <v>5707665</v>
      </c>
      <c r="D2511">
        <v>1653</v>
      </c>
    </row>
    <row r="2512" spans="1:4" x14ac:dyDescent="0.25">
      <c r="A2512" t="str">
        <f>T("   851690")</f>
        <v xml:space="preserve">   851690</v>
      </c>
      <c r="B2512"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2512">
        <v>33069134</v>
      </c>
      <c r="D2512">
        <v>264</v>
      </c>
    </row>
    <row r="2513" spans="1:4" x14ac:dyDescent="0.25">
      <c r="A2513" t="str">
        <f>T("   851712")</f>
        <v xml:space="preserve">   851712</v>
      </c>
      <c r="B2513" t="str">
        <f>T("   TÉLÉPHONES POUR RÉSEAUX CELLULAIRES [TÉLÉPHONES MOBILES] ET POUR AUTRES RÉSEAUX SANS FIL")</f>
        <v xml:space="preserve">   TÉLÉPHONES POUR RÉSEAUX CELLULAIRES [TÉLÉPHONES MOBILES] ET POUR AUTRES RÉSEAUX SANS FIL</v>
      </c>
      <c r="C2513">
        <v>97162162</v>
      </c>
      <c r="D2513">
        <v>5095</v>
      </c>
    </row>
    <row r="2514" spans="1:4" x14ac:dyDescent="0.25">
      <c r="A2514" t="str">
        <f>T("   851718")</f>
        <v xml:space="preserve">   851718</v>
      </c>
      <c r="B2514"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2514">
        <v>50742811</v>
      </c>
      <c r="D2514">
        <v>301</v>
      </c>
    </row>
    <row r="2515" spans="1:4" x14ac:dyDescent="0.25">
      <c r="A2515" t="str">
        <f>T("   851762")</f>
        <v xml:space="preserve">   851762</v>
      </c>
      <c r="B2515" t="s">
        <v>480</v>
      </c>
      <c r="C2515">
        <v>401802</v>
      </c>
      <c r="D2515">
        <v>11</v>
      </c>
    </row>
    <row r="2516" spans="1:4" x14ac:dyDescent="0.25">
      <c r="A2516" t="str">
        <f>T("   851769")</f>
        <v xml:space="preserve">   851769</v>
      </c>
      <c r="B2516" t="s">
        <v>481</v>
      </c>
      <c r="C2516">
        <v>205639946</v>
      </c>
      <c r="D2516">
        <v>8742.5</v>
      </c>
    </row>
    <row r="2517" spans="1:4" x14ac:dyDescent="0.25">
      <c r="A2517" t="str">
        <f>T("   851770")</f>
        <v xml:space="preserve">   851770</v>
      </c>
      <c r="B2517"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2517">
        <v>360383443</v>
      </c>
      <c r="D2517">
        <v>5835</v>
      </c>
    </row>
    <row r="2518" spans="1:4" x14ac:dyDescent="0.25">
      <c r="A2518" t="str">
        <f>T("   851822")</f>
        <v xml:space="preserve">   851822</v>
      </c>
      <c r="B2518" t="str">
        <f>T("   Haut-parleurs multiples montés dans la même enceinte")</f>
        <v xml:space="preserve">   Haut-parleurs multiples montés dans la même enceinte</v>
      </c>
      <c r="C2518">
        <v>1098357</v>
      </c>
      <c r="D2518">
        <v>1400</v>
      </c>
    </row>
    <row r="2519" spans="1:4" x14ac:dyDescent="0.25">
      <c r="A2519" t="str">
        <f>T("   851829")</f>
        <v xml:space="preserve">   851829</v>
      </c>
      <c r="B2519" t="str">
        <f>T("   Haut-parleurs sans enceinte")</f>
        <v xml:space="preserve">   Haut-parleurs sans enceinte</v>
      </c>
      <c r="C2519">
        <v>125337953</v>
      </c>
      <c r="D2519">
        <v>234435</v>
      </c>
    </row>
    <row r="2520" spans="1:4" x14ac:dyDescent="0.25">
      <c r="A2520" t="str">
        <f>T("   851840")</f>
        <v xml:space="preserve">   851840</v>
      </c>
      <c r="B2520" t="str">
        <f>T("   Amplificateurs électriques d'audiofréquence")</f>
        <v xml:space="preserve">   Amplificateurs électriques d'audiofréquence</v>
      </c>
      <c r="C2520">
        <v>42628</v>
      </c>
      <c r="D2520">
        <v>202</v>
      </c>
    </row>
    <row r="2521" spans="1:4" x14ac:dyDescent="0.25">
      <c r="A2521" t="str">
        <f>T("   851850")</f>
        <v xml:space="preserve">   851850</v>
      </c>
      <c r="B2521" t="str">
        <f>T("   Appareils électriques d'amplification du son")</f>
        <v xml:space="preserve">   Appareils électriques d'amplification du son</v>
      </c>
      <c r="C2521">
        <v>17282101</v>
      </c>
      <c r="D2521">
        <v>15991</v>
      </c>
    </row>
    <row r="2522" spans="1:4" x14ac:dyDescent="0.25">
      <c r="A2522" t="str">
        <f>T("   851890")</f>
        <v xml:space="preserve">   851890</v>
      </c>
      <c r="B2522"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2522">
        <v>51154</v>
      </c>
      <c r="D2522">
        <v>37</v>
      </c>
    </row>
    <row r="2523" spans="1:4" x14ac:dyDescent="0.25">
      <c r="A2523" t="str">
        <f>T("   852090")</f>
        <v xml:space="preserve">   852090</v>
      </c>
      <c r="B252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2523">
        <v>3229318</v>
      </c>
      <c r="D2523">
        <v>3662.5</v>
      </c>
    </row>
    <row r="2524" spans="1:4" x14ac:dyDescent="0.25">
      <c r="A2524" t="str">
        <f>T("   852190")</f>
        <v xml:space="preserve">   852190</v>
      </c>
      <c r="B2524" t="s">
        <v>487</v>
      </c>
      <c r="C2524">
        <v>56892724</v>
      </c>
      <c r="D2524">
        <v>126437</v>
      </c>
    </row>
    <row r="2525" spans="1:4" x14ac:dyDescent="0.25">
      <c r="A2525" t="str">
        <f>T("   852329")</f>
        <v xml:space="preserve">   852329</v>
      </c>
      <c r="B2525"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2525">
        <v>40581819</v>
      </c>
      <c r="D2525">
        <v>14217</v>
      </c>
    </row>
    <row r="2526" spans="1:4" x14ac:dyDescent="0.25">
      <c r="A2526" t="str">
        <f>T("   852380")</f>
        <v xml:space="preserve">   852380</v>
      </c>
      <c r="B2526" t="s">
        <v>490</v>
      </c>
      <c r="C2526">
        <v>2571782</v>
      </c>
      <c r="D2526">
        <v>686</v>
      </c>
    </row>
    <row r="2527" spans="1:4" x14ac:dyDescent="0.25">
      <c r="A2527" t="str">
        <f>T("   852550")</f>
        <v xml:space="preserve">   852550</v>
      </c>
      <c r="B2527" t="str">
        <f>T("   APPAREILS D'ÉMISSION POUR LA RADIODIFFUSION OU LA TÉLÉVISION, SANS APPAREIL DE RÉCEPTION")</f>
        <v xml:space="preserve">   APPAREILS D'ÉMISSION POUR LA RADIODIFFUSION OU LA TÉLÉVISION, SANS APPAREIL DE RÉCEPTION</v>
      </c>
      <c r="C2527">
        <v>23598006</v>
      </c>
      <c r="D2527">
        <v>11720</v>
      </c>
    </row>
    <row r="2528" spans="1:4" x14ac:dyDescent="0.25">
      <c r="A2528" t="str">
        <f>T("   852580")</f>
        <v xml:space="preserve">   852580</v>
      </c>
      <c r="B2528" t="str">
        <f>T("   CAMÉRAS DE TÉLÉVISION, APPAREILS PHOTOGRAPHIQUES NUMÉRIQUES ET CAMÉSCOPES")</f>
        <v xml:space="preserve">   CAMÉRAS DE TÉLÉVISION, APPAREILS PHOTOGRAPHIQUES NUMÉRIQUES ET CAMÉSCOPES</v>
      </c>
      <c r="C2528">
        <v>126466</v>
      </c>
      <c r="D2528">
        <v>569</v>
      </c>
    </row>
    <row r="2529" spans="1:4" x14ac:dyDescent="0.25">
      <c r="A2529" t="str">
        <f>T("   852712")</f>
        <v xml:space="preserve">   852712</v>
      </c>
      <c r="B2529"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2529">
        <v>41581</v>
      </c>
      <c r="D2529">
        <v>282</v>
      </c>
    </row>
    <row r="2530" spans="1:4" x14ac:dyDescent="0.25">
      <c r="A2530" t="str">
        <f>T("   852713")</f>
        <v xml:space="preserve">   852713</v>
      </c>
      <c r="B2530"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530">
        <v>4185074</v>
      </c>
      <c r="D2530">
        <v>8449</v>
      </c>
    </row>
    <row r="2531" spans="1:4" x14ac:dyDescent="0.25">
      <c r="A2531" t="str">
        <f>T("   852719")</f>
        <v xml:space="preserve">   852719</v>
      </c>
      <c r="B2531"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2531">
        <v>20472271</v>
      </c>
      <c r="D2531">
        <v>49625</v>
      </c>
    </row>
    <row r="2532" spans="1:4" x14ac:dyDescent="0.25">
      <c r="A2532" t="str">
        <f>T("   852799")</f>
        <v xml:space="preserve">   852799</v>
      </c>
      <c r="B2532"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2532">
        <v>2131907</v>
      </c>
      <c r="D2532">
        <v>2419</v>
      </c>
    </row>
    <row r="2533" spans="1:4" x14ac:dyDescent="0.25">
      <c r="A2533" t="str">
        <f>T("   852812")</f>
        <v xml:space="preserve">   852812</v>
      </c>
      <c r="B253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533">
        <v>38374000</v>
      </c>
      <c r="D2533">
        <v>61279</v>
      </c>
    </row>
    <row r="2534" spans="1:4" x14ac:dyDescent="0.25">
      <c r="A2534" t="str">
        <f>T("   852821")</f>
        <v xml:space="preserve">   852821</v>
      </c>
      <c r="B2534" t="str">
        <f>T("   Moniteurs vidéo en couleurs")</f>
        <v xml:space="preserve">   Moniteurs vidéo en couleurs</v>
      </c>
      <c r="C2534">
        <v>1788803</v>
      </c>
      <c r="D2534">
        <v>1205</v>
      </c>
    </row>
    <row r="2535" spans="1:4" x14ac:dyDescent="0.25">
      <c r="A2535" t="str">
        <f>T("   852849")</f>
        <v xml:space="preserve">   852849</v>
      </c>
      <c r="B2535"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2535">
        <v>46040803</v>
      </c>
      <c r="D2535">
        <v>62230</v>
      </c>
    </row>
    <row r="2536" spans="1:4" x14ac:dyDescent="0.25">
      <c r="A2536" t="str">
        <f>T("   852869")</f>
        <v xml:space="preserve">   852869</v>
      </c>
      <c r="B2536"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2536">
        <v>58380</v>
      </c>
      <c r="D2536">
        <v>10</v>
      </c>
    </row>
    <row r="2537" spans="1:4" x14ac:dyDescent="0.25">
      <c r="A2537" t="str">
        <f>T("   852871")</f>
        <v xml:space="preserve">   852871</v>
      </c>
      <c r="B2537"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2537">
        <v>147752884</v>
      </c>
      <c r="D2537">
        <v>86505</v>
      </c>
    </row>
    <row r="2538" spans="1:4" x14ac:dyDescent="0.25">
      <c r="A2538" t="str">
        <f>T("   852872")</f>
        <v xml:space="preserve">   852872</v>
      </c>
      <c r="B2538" t="str">
        <f>T("   APPAREILS RÉCEPTEURS DE TÉLÉVISION EN COULEURS, MÊME INCORPORANT UN APPAREIL RÉCEPTEUR DE RADIODIFFUSION OU UN APPAREIL D'ENREGISTREMENT OU DE REPRODUCTION DU SON OU DES IMAGES, CONÇUS POUR INCORPORER UN DISPOSITIF D'AFFICHAGE OU UN ÉCRAN VIDÉO")</f>
        <v xml:space="preserve">   APPAREILS RÉCEPTEURS DE TÉLÉVISION EN COULEURS, MÊME INCORPORANT UN APPAREIL RÉCEPTEUR DE RADIODIFFUSION OU UN APPAREIL D'ENREGISTREMENT OU DE REPRODUCTION DU SON OU DES IMAGES, CONÇUS POUR INCORPORER UN DISPOSITIF D'AFFICHAGE OU UN ÉCRAN VIDÉO</v>
      </c>
      <c r="C2538">
        <v>40168939</v>
      </c>
      <c r="D2538">
        <v>80388</v>
      </c>
    </row>
    <row r="2539" spans="1:4" x14ac:dyDescent="0.25">
      <c r="A2539" t="str">
        <f>T("   852873")</f>
        <v xml:space="preserve">   852873</v>
      </c>
      <c r="B2539" t="s">
        <v>495</v>
      </c>
      <c r="C2539">
        <v>43570558</v>
      </c>
      <c r="D2539">
        <v>116908</v>
      </c>
    </row>
    <row r="2540" spans="1:4" x14ac:dyDescent="0.25">
      <c r="A2540" t="str">
        <f>T("   852910")</f>
        <v xml:space="preserve">   852910</v>
      </c>
      <c r="B254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540">
        <v>34489580</v>
      </c>
      <c r="D2540">
        <v>88892</v>
      </c>
    </row>
    <row r="2541" spans="1:4" x14ac:dyDescent="0.25">
      <c r="A2541" t="str">
        <f>T("   852990")</f>
        <v xml:space="preserve">   852990</v>
      </c>
      <c r="B2541" t="s">
        <v>496</v>
      </c>
      <c r="C2541">
        <v>8860075</v>
      </c>
      <c r="D2541">
        <v>14320.36</v>
      </c>
    </row>
    <row r="2542" spans="1:4" x14ac:dyDescent="0.25">
      <c r="A2542" t="str">
        <f>T("   853120")</f>
        <v xml:space="preserve">   853120</v>
      </c>
      <c r="B2542"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2542">
        <v>673149</v>
      </c>
      <c r="D2542">
        <v>147</v>
      </c>
    </row>
    <row r="2543" spans="1:4" x14ac:dyDescent="0.25">
      <c r="A2543" t="str">
        <f>T("   853180")</f>
        <v xml:space="preserve">   853180</v>
      </c>
      <c r="B2543" t="s">
        <v>497</v>
      </c>
      <c r="C2543">
        <v>127461</v>
      </c>
      <c r="D2543">
        <v>24</v>
      </c>
    </row>
    <row r="2544" spans="1:4" x14ac:dyDescent="0.25">
      <c r="A2544" t="str">
        <f>T("   853530")</f>
        <v xml:space="preserve">   853530</v>
      </c>
      <c r="B2544" t="str">
        <f>T("   Sectionneurs et interrupteurs, pour une tension &gt; 1.000 V")</f>
        <v xml:space="preserve">   Sectionneurs et interrupteurs, pour une tension &gt; 1.000 V</v>
      </c>
      <c r="C2544">
        <v>561097</v>
      </c>
      <c r="D2544">
        <v>265</v>
      </c>
    </row>
    <row r="2545" spans="1:4" x14ac:dyDescent="0.25">
      <c r="A2545" t="str">
        <f>T("   853540")</f>
        <v xml:space="preserve">   853540</v>
      </c>
      <c r="B2545" t="str">
        <f>T("   Parafoudres, limiteurs de tension et étaleurs d'ondes, pour une tension &gt; 1.000 V")</f>
        <v xml:space="preserve">   Parafoudres, limiteurs de tension et étaleurs d'ondes, pour une tension &gt; 1.000 V</v>
      </c>
      <c r="C2545">
        <v>724937</v>
      </c>
      <c r="D2545">
        <v>1650</v>
      </c>
    </row>
    <row r="2546" spans="1:4" x14ac:dyDescent="0.25">
      <c r="A2546" t="str">
        <f>T("   853590")</f>
        <v xml:space="preserve">   853590</v>
      </c>
      <c r="B2546" t="s">
        <v>498</v>
      </c>
      <c r="C2546">
        <v>102373409</v>
      </c>
      <c r="D2546">
        <v>25373.5</v>
      </c>
    </row>
    <row r="2547" spans="1:4" x14ac:dyDescent="0.25">
      <c r="A2547" t="str">
        <f>T("   853630")</f>
        <v xml:space="preserve">   853630</v>
      </c>
      <c r="B2547"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2547">
        <v>2765527</v>
      </c>
      <c r="D2547">
        <v>5722</v>
      </c>
    </row>
    <row r="2548" spans="1:4" x14ac:dyDescent="0.25">
      <c r="A2548" t="str">
        <f>T("   853649")</f>
        <v xml:space="preserve">   853649</v>
      </c>
      <c r="B2548" t="str">
        <f>T("   Relais, pour une tension &gt; 60 V mais &lt;= 1.000 V")</f>
        <v xml:space="preserve">   Relais, pour une tension &gt; 60 V mais &lt;= 1.000 V</v>
      </c>
      <c r="C2548">
        <v>3572623</v>
      </c>
      <c r="D2548">
        <v>523</v>
      </c>
    </row>
    <row r="2549" spans="1:4" x14ac:dyDescent="0.25">
      <c r="A2549" t="str">
        <f>T("   853650")</f>
        <v xml:space="preserve">   853650</v>
      </c>
      <c r="B2549" t="str">
        <f>T("   Interrupteurs, sectionneurs et commutateurs, pour une tension &lt;= 1.000 V (autres que relais et disjoncteurs)")</f>
        <v xml:space="preserve">   Interrupteurs, sectionneurs et commutateurs, pour une tension &lt;= 1.000 V (autres que relais et disjoncteurs)</v>
      </c>
      <c r="C2549">
        <v>35607194</v>
      </c>
      <c r="D2549">
        <v>81897</v>
      </c>
    </row>
    <row r="2550" spans="1:4" x14ac:dyDescent="0.25">
      <c r="A2550" t="str">
        <f>T("   853661")</f>
        <v xml:space="preserve">   853661</v>
      </c>
      <c r="B2550" t="str">
        <f>T("   Douilles pour lampes, pour une tension &lt;= 1.000 V")</f>
        <v xml:space="preserve">   Douilles pour lampes, pour une tension &lt;= 1.000 V</v>
      </c>
      <c r="C2550">
        <v>5698714</v>
      </c>
      <c r="D2550">
        <v>18137</v>
      </c>
    </row>
    <row r="2551" spans="1:4" x14ac:dyDescent="0.25">
      <c r="A2551" t="str">
        <f>T("   853669")</f>
        <v xml:space="preserve">   853669</v>
      </c>
      <c r="B2551" t="str">
        <f>T("   Fiches et prises de courant, pour une tension &lt;= 1.000 V (sauf douilles pour lampes)")</f>
        <v xml:space="preserve">   Fiches et prises de courant, pour une tension &lt;= 1.000 V (sauf douilles pour lampes)</v>
      </c>
      <c r="C2551">
        <v>97807066</v>
      </c>
      <c r="D2551">
        <v>238427</v>
      </c>
    </row>
    <row r="2552" spans="1:4" x14ac:dyDescent="0.25">
      <c r="A2552" t="str">
        <f>T("   853690")</f>
        <v xml:space="preserve">   853690</v>
      </c>
      <c r="B2552" t="s">
        <v>499</v>
      </c>
      <c r="C2552">
        <v>26901879</v>
      </c>
      <c r="D2552">
        <v>123010</v>
      </c>
    </row>
    <row r="2553" spans="1:4" x14ac:dyDescent="0.25">
      <c r="A2553" t="str">
        <f>T("   853710")</f>
        <v xml:space="preserve">   853710</v>
      </c>
      <c r="B255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553">
        <v>51687</v>
      </c>
      <c r="D2553">
        <v>21</v>
      </c>
    </row>
    <row r="2554" spans="1:4" x14ac:dyDescent="0.25">
      <c r="A2554" t="str">
        <f>T("   853810")</f>
        <v xml:space="preserve">   853810</v>
      </c>
      <c r="B2554" t="str">
        <f>T("   Tableaux, panneaux, consoles, pupitres, armoires et autres supports pour articles du n° 8537, dépourvus de leurs appareils")</f>
        <v xml:space="preserve">   Tableaux, panneaux, consoles, pupitres, armoires et autres supports pour articles du n° 8537, dépourvus de leurs appareils</v>
      </c>
      <c r="C2554">
        <v>700000</v>
      </c>
      <c r="D2554">
        <v>1130</v>
      </c>
    </row>
    <row r="2555" spans="1:4" x14ac:dyDescent="0.25">
      <c r="A2555" t="str">
        <f>T("   853890")</f>
        <v xml:space="preserve">   853890</v>
      </c>
      <c r="B2555" t="s">
        <v>500</v>
      </c>
      <c r="C2555">
        <v>3429461</v>
      </c>
      <c r="D2555">
        <v>653</v>
      </c>
    </row>
    <row r="2556" spans="1:4" x14ac:dyDescent="0.25">
      <c r="A2556" t="str">
        <f>T("   853929")</f>
        <v xml:space="preserve">   853929</v>
      </c>
      <c r="B255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556">
        <v>64625027</v>
      </c>
      <c r="D2556">
        <v>162373</v>
      </c>
    </row>
    <row r="2557" spans="1:4" x14ac:dyDescent="0.25">
      <c r="A2557" t="str">
        <f>T("   853931")</f>
        <v xml:space="preserve">   853931</v>
      </c>
      <c r="B2557" t="str">
        <f>T("   Lampes et tubes à décharge, fluorescents, à cathode chaude")</f>
        <v xml:space="preserve">   Lampes et tubes à décharge, fluorescents, à cathode chaude</v>
      </c>
      <c r="C2557">
        <v>15038891</v>
      </c>
      <c r="D2557">
        <v>46432</v>
      </c>
    </row>
    <row r="2558" spans="1:4" x14ac:dyDescent="0.25">
      <c r="A2558" t="str">
        <f>T("   853939")</f>
        <v xml:space="preserve">   853939</v>
      </c>
      <c r="B2558"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558">
        <v>15944767</v>
      </c>
      <c r="D2558">
        <v>32596</v>
      </c>
    </row>
    <row r="2559" spans="1:4" x14ac:dyDescent="0.25">
      <c r="A2559" t="str">
        <f>T("   853949")</f>
        <v xml:space="preserve">   853949</v>
      </c>
      <c r="B2559" t="str">
        <f>T("   Lampes et tubes à rayons ultraviolets ou infrarouges")</f>
        <v xml:space="preserve">   Lampes et tubes à rayons ultraviolets ou infrarouges</v>
      </c>
      <c r="C2559">
        <v>3771333</v>
      </c>
      <c r="D2559">
        <v>32636</v>
      </c>
    </row>
    <row r="2560" spans="1:4" x14ac:dyDescent="0.25">
      <c r="A2560" t="str">
        <f>T("   854140")</f>
        <v xml:space="preserve">   854140</v>
      </c>
      <c r="B2560"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2560">
        <v>40708013</v>
      </c>
      <c r="D2560">
        <v>2161</v>
      </c>
    </row>
    <row r="2561" spans="1:4" x14ac:dyDescent="0.25">
      <c r="A2561" t="str">
        <f>T("   854213")</f>
        <v xml:space="preserve">   854213</v>
      </c>
      <c r="B2561" t="str">
        <f>T("   CIRCUITS INTÉGRÉS MONOLITHIQUES NUMÉRIQUES COMPOSÉS DE SEMI-CONDUCTEURS A OXYDE METALLIQUE [TECHNOLOGIE MOS] (À L'EXCL. DE CARTES MUNIES D'UN CIRCUIT INTÉGRÉ ÉLECTRONIQUE [CARTES INTELLIGENTES])")</f>
        <v xml:space="preserve">   CIRCUITS INTÉGRÉS MONOLITHIQUES NUMÉRIQUES COMPOSÉS DE SEMI-CONDUCTEURS A OXYDE METALLIQUE [TECHNOLOGIE MOS] (À L'EXCL. DE CARTES MUNIES D'UN CIRCUIT INTÉGRÉ ÉLECTRONIQUE [CARTES INTELLIGENTES])</v>
      </c>
      <c r="C2561">
        <v>63000</v>
      </c>
      <c r="D2561">
        <v>26</v>
      </c>
    </row>
    <row r="2562" spans="1:4" x14ac:dyDescent="0.25">
      <c r="A2562" t="str">
        <f>T("   854419")</f>
        <v xml:space="preserve">   854419</v>
      </c>
      <c r="B2562" t="str">
        <f>T("   Fils pour bobinages pour l'électricité, autres qu'en cuivre, isolés")</f>
        <v xml:space="preserve">   Fils pour bobinages pour l'électricité, autres qu'en cuivre, isolés</v>
      </c>
      <c r="C2562">
        <v>5314043</v>
      </c>
      <c r="D2562">
        <v>17000</v>
      </c>
    </row>
    <row r="2563" spans="1:4" x14ac:dyDescent="0.25">
      <c r="A2563" t="str">
        <f>T("   854420")</f>
        <v xml:space="preserve">   854420</v>
      </c>
      <c r="B2563" t="str">
        <f>T("   Câbles coaxiaux et autres conducteurs électriques coaxiaux, isolés")</f>
        <v xml:space="preserve">   Câbles coaxiaux et autres conducteurs électriques coaxiaux, isolés</v>
      </c>
      <c r="C2563">
        <v>156362670</v>
      </c>
      <c r="D2563">
        <v>102948</v>
      </c>
    </row>
    <row r="2564" spans="1:4" x14ac:dyDescent="0.25">
      <c r="A2564" t="str">
        <f>T("   854442")</f>
        <v xml:space="preserve">   854442</v>
      </c>
      <c r="B2564" t="str">
        <f>T("   CONDUCTEURS ÉLECTRIQUES, POUR TENSION &lt;= 1.000 V, ISOLÉS, AVEC PIÈCES DE CONNEXION, N.D.A.")</f>
        <v xml:space="preserve">   CONDUCTEURS ÉLECTRIQUES, POUR TENSION &lt;= 1.000 V, ISOLÉS, AVEC PIÈCES DE CONNEXION, N.D.A.</v>
      </c>
      <c r="C2564">
        <v>6641468</v>
      </c>
      <c r="D2564">
        <v>11590</v>
      </c>
    </row>
    <row r="2565" spans="1:4" x14ac:dyDescent="0.25">
      <c r="A2565" t="str">
        <f>T("   854449")</f>
        <v xml:space="preserve">   854449</v>
      </c>
      <c r="B2565" t="str">
        <f>T("   CONDUCTEURS ÉLECTRIQUES, POUR TENSION &lt;= 1.000 V, ISOLÉS, SANS PIÈCES DE CONNEXION, N.D.A.")</f>
        <v xml:space="preserve">   CONDUCTEURS ÉLECTRIQUES, POUR TENSION &lt;= 1.000 V, ISOLÉS, SANS PIÈCES DE CONNEXION, N.D.A.</v>
      </c>
      <c r="C2565">
        <v>268715587</v>
      </c>
      <c r="D2565">
        <v>349427</v>
      </c>
    </row>
    <row r="2566" spans="1:4" x14ac:dyDescent="0.25">
      <c r="A2566" t="str">
        <f>T("   854460")</f>
        <v xml:space="preserve">   854460</v>
      </c>
      <c r="B2566" t="str">
        <f>T("   Conducteurs électriques, pour tension &gt; 1.000 V, n.d.a.")</f>
        <v xml:space="preserve">   Conducteurs électriques, pour tension &gt; 1.000 V, n.d.a.</v>
      </c>
      <c r="C2566">
        <v>97360831</v>
      </c>
      <c r="D2566">
        <v>52986</v>
      </c>
    </row>
    <row r="2567" spans="1:4" x14ac:dyDescent="0.25">
      <c r="A2567" t="str">
        <f>T("   854790")</f>
        <v xml:space="preserve">   854790</v>
      </c>
      <c r="B2567"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2567">
        <v>10933237</v>
      </c>
      <c r="D2567">
        <v>9088</v>
      </c>
    </row>
    <row r="2568" spans="1:4" x14ac:dyDescent="0.25">
      <c r="A2568" t="str">
        <f>T("   860900")</f>
        <v xml:space="preserve">   860900</v>
      </c>
      <c r="B2568"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2568">
        <v>2514375</v>
      </c>
      <c r="D2568">
        <v>2200</v>
      </c>
    </row>
    <row r="2569" spans="1:4" x14ac:dyDescent="0.25">
      <c r="A2569" t="str">
        <f>T("   870110")</f>
        <v xml:space="preserve">   870110</v>
      </c>
      <c r="B2569"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2569">
        <v>49853912</v>
      </c>
      <c r="D2569">
        <v>26280</v>
      </c>
    </row>
    <row r="2570" spans="1:4" x14ac:dyDescent="0.25">
      <c r="A2570" t="str">
        <f>T("   870120")</f>
        <v xml:space="preserve">   870120</v>
      </c>
      <c r="B2570" t="str">
        <f>T("   Tracteurs routiers pour semi-remorques")</f>
        <v xml:space="preserve">   Tracteurs routiers pour semi-remorques</v>
      </c>
      <c r="C2570">
        <v>2434254328</v>
      </c>
      <c r="D2570">
        <v>861550</v>
      </c>
    </row>
    <row r="2571" spans="1:4" x14ac:dyDescent="0.25">
      <c r="A2571" t="str">
        <f>T("   870130")</f>
        <v xml:space="preserve">   870130</v>
      </c>
      <c r="B2571" t="str">
        <f>T("   Tracteurs à chenilles (sauf motoculteurs à chenille)")</f>
        <v xml:space="preserve">   Tracteurs à chenilles (sauf motoculteurs à chenille)</v>
      </c>
      <c r="C2571">
        <v>114317371</v>
      </c>
      <c r="D2571">
        <v>38940</v>
      </c>
    </row>
    <row r="2572" spans="1:4" x14ac:dyDescent="0.25">
      <c r="A2572" t="str">
        <f>T("   870190")</f>
        <v xml:space="preserve">   870190</v>
      </c>
      <c r="B2572"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2572">
        <v>28077781</v>
      </c>
      <c r="D2572">
        <v>6850</v>
      </c>
    </row>
    <row r="2573" spans="1:4" x14ac:dyDescent="0.25">
      <c r="A2573" t="str">
        <f>T("   870210")</f>
        <v xml:space="preserve">   870210</v>
      </c>
      <c r="B2573" t="s">
        <v>503</v>
      </c>
      <c r="C2573">
        <v>446192281</v>
      </c>
      <c r="D2573">
        <v>137429</v>
      </c>
    </row>
    <row r="2574" spans="1:4" x14ac:dyDescent="0.25">
      <c r="A2574" t="str">
        <f>T("   870290")</f>
        <v xml:space="preserve">   870290</v>
      </c>
      <c r="B2574" t="s">
        <v>504</v>
      </c>
      <c r="C2574">
        <v>189174982</v>
      </c>
      <c r="D2574">
        <v>51214</v>
      </c>
    </row>
    <row r="2575" spans="1:4" x14ac:dyDescent="0.25">
      <c r="A2575" t="str">
        <f>T("   870322")</f>
        <v xml:space="preserve">   870322</v>
      </c>
      <c r="B2575" t="s">
        <v>506</v>
      </c>
      <c r="C2575">
        <v>25856574</v>
      </c>
      <c r="D2575">
        <v>7970</v>
      </c>
    </row>
    <row r="2576" spans="1:4" x14ac:dyDescent="0.25">
      <c r="A2576" t="str">
        <f>T("   870323")</f>
        <v xml:space="preserve">   870323</v>
      </c>
      <c r="B2576" t="s">
        <v>507</v>
      </c>
      <c r="C2576">
        <v>74090108</v>
      </c>
      <c r="D2576">
        <v>30895</v>
      </c>
    </row>
    <row r="2577" spans="1:4" x14ac:dyDescent="0.25">
      <c r="A2577" t="str">
        <f>T("   870324")</f>
        <v xml:space="preserve">   870324</v>
      </c>
      <c r="B2577" t="s">
        <v>508</v>
      </c>
      <c r="C2577">
        <v>73581327</v>
      </c>
      <c r="D2577">
        <v>28769</v>
      </c>
    </row>
    <row r="2578" spans="1:4" x14ac:dyDescent="0.25">
      <c r="A2578" t="str">
        <f>T("   870332")</f>
        <v xml:space="preserve">   870332</v>
      </c>
      <c r="B2578" t="s">
        <v>510</v>
      </c>
      <c r="C2578">
        <v>16871700</v>
      </c>
      <c r="D2578">
        <v>3541</v>
      </c>
    </row>
    <row r="2579" spans="1:4" x14ac:dyDescent="0.25">
      <c r="A2579" t="str">
        <f>T("   870333")</f>
        <v xml:space="preserve">   870333</v>
      </c>
      <c r="B2579" t="s">
        <v>511</v>
      </c>
      <c r="C2579">
        <v>57149581</v>
      </c>
      <c r="D2579">
        <v>12291</v>
      </c>
    </row>
    <row r="2580" spans="1:4" x14ac:dyDescent="0.25">
      <c r="A2580" t="str">
        <f>T("   870410")</f>
        <v xml:space="preserve">   870410</v>
      </c>
      <c r="B2580" t="str">
        <f>T("   Tombereaux automoteurs utilisés en dehors du réseau routier")</f>
        <v xml:space="preserve">   Tombereaux automoteurs utilisés en dehors du réseau routier</v>
      </c>
      <c r="C2580">
        <v>306272309</v>
      </c>
      <c r="D2580">
        <v>145100</v>
      </c>
    </row>
    <row r="2581" spans="1:4" x14ac:dyDescent="0.25">
      <c r="A2581" t="str">
        <f>T("   870421")</f>
        <v xml:space="preserve">   870421</v>
      </c>
      <c r="B2581" t="s">
        <v>512</v>
      </c>
      <c r="C2581">
        <v>843930887</v>
      </c>
      <c r="D2581">
        <v>374435</v>
      </c>
    </row>
    <row r="2582" spans="1:4" x14ac:dyDescent="0.25">
      <c r="A2582" t="str">
        <f>T("   870422")</f>
        <v xml:space="preserve">   870422</v>
      </c>
      <c r="B2582" t="s">
        <v>513</v>
      </c>
      <c r="C2582">
        <v>348299944</v>
      </c>
      <c r="D2582">
        <v>232702</v>
      </c>
    </row>
    <row r="2583" spans="1:4" x14ac:dyDescent="0.25">
      <c r="A2583" t="str">
        <f>T("   870423")</f>
        <v xml:space="preserve">   870423</v>
      </c>
      <c r="B2583" t="s">
        <v>514</v>
      </c>
      <c r="C2583">
        <v>207320461</v>
      </c>
      <c r="D2583">
        <v>173540</v>
      </c>
    </row>
    <row r="2584" spans="1:4" x14ac:dyDescent="0.25">
      <c r="A2584" t="str">
        <f>T("   870431")</f>
        <v xml:space="preserve">   870431</v>
      </c>
      <c r="B2584" t="s">
        <v>515</v>
      </c>
      <c r="C2584">
        <v>67806592</v>
      </c>
      <c r="D2584">
        <v>33560</v>
      </c>
    </row>
    <row r="2585" spans="1:4" x14ac:dyDescent="0.25">
      <c r="A2585" t="str">
        <f>T("   870432")</f>
        <v xml:space="preserve">   870432</v>
      </c>
      <c r="B2585" t="s">
        <v>516</v>
      </c>
      <c r="C2585">
        <v>25325744</v>
      </c>
      <c r="D2585">
        <v>9847</v>
      </c>
    </row>
    <row r="2586" spans="1:4" x14ac:dyDescent="0.25">
      <c r="A2586" t="str">
        <f>T("   870530")</f>
        <v xml:space="preserve">   870530</v>
      </c>
      <c r="B2586" t="str">
        <f>T("   Voitures de lutte contre l'incendie (sauf véhicules affectés principalement au transport des sapeurs-pompiers)")</f>
        <v xml:space="preserve">   Voitures de lutte contre l'incendie (sauf véhicules affectés principalement au transport des sapeurs-pompiers)</v>
      </c>
      <c r="C2586">
        <v>12765637</v>
      </c>
      <c r="D2586">
        <v>10000</v>
      </c>
    </row>
    <row r="2587" spans="1:4" x14ac:dyDescent="0.25">
      <c r="A2587" t="str">
        <f>T("   870540")</f>
        <v xml:space="preserve">   870540</v>
      </c>
      <c r="B2587" t="str">
        <f>T("   Camions-bétonnières")</f>
        <v xml:space="preserve">   Camions-bétonnières</v>
      </c>
      <c r="C2587">
        <v>61742627</v>
      </c>
      <c r="D2587">
        <v>60000</v>
      </c>
    </row>
    <row r="2588" spans="1:4" x14ac:dyDescent="0.25">
      <c r="A2588" t="str">
        <f>T("   870590")</f>
        <v xml:space="preserve">   870590</v>
      </c>
      <c r="B2588" t="s">
        <v>517</v>
      </c>
      <c r="C2588">
        <v>72960592</v>
      </c>
      <c r="D2588">
        <v>41313</v>
      </c>
    </row>
    <row r="2589" spans="1:4" x14ac:dyDescent="0.25">
      <c r="A2589" t="str">
        <f>T("   870810")</f>
        <v xml:space="preserve">   870810</v>
      </c>
      <c r="B2589"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2589">
        <v>27572838</v>
      </c>
      <c r="D2589">
        <v>53560</v>
      </c>
    </row>
    <row r="2590" spans="1:4" x14ac:dyDescent="0.25">
      <c r="A2590" t="str">
        <f>T("   870821")</f>
        <v xml:space="preserve">   870821</v>
      </c>
      <c r="B2590" t="str">
        <f>T("   Ceintures de sécurité pour véhicules")</f>
        <v xml:space="preserve">   Ceintures de sécurité pour véhicules</v>
      </c>
      <c r="C2590">
        <v>8903345</v>
      </c>
      <c r="D2590">
        <v>1800</v>
      </c>
    </row>
    <row r="2591" spans="1:4" x14ac:dyDescent="0.25">
      <c r="A2591" t="str">
        <f>T("   870829")</f>
        <v xml:space="preserve">   870829</v>
      </c>
      <c r="B2591" t="s">
        <v>519</v>
      </c>
      <c r="C2591">
        <v>2989724</v>
      </c>
      <c r="D2591">
        <v>7509</v>
      </c>
    </row>
    <row r="2592" spans="1:4" x14ac:dyDescent="0.25">
      <c r="A2592" t="str">
        <f>T("   870830")</f>
        <v xml:space="preserve">   870830</v>
      </c>
      <c r="B2592"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2592">
        <v>345142</v>
      </c>
      <c r="D2592">
        <v>10.1</v>
      </c>
    </row>
    <row r="2593" spans="1:4" x14ac:dyDescent="0.25">
      <c r="A2593" t="str">
        <f>T("   870839")</f>
        <v xml:space="preserve">   870839</v>
      </c>
      <c r="B2593"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2593">
        <v>5000000</v>
      </c>
      <c r="D2593">
        <v>13800</v>
      </c>
    </row>
    <row r="2594" spans="1:4" x14ac:dyDescent="0.25">
      <c r="A2594" t="str">
        <f>T("   870870")</f>
        <v xml:space="preserve">   870870</v>
      </c>
      <c r="B2594"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2594">
        <v>5313651</v>
      </c>
      <c r="D2594">
        <v>15001</v>
      </c>
    </row>
    <row r="2595" spans="1:4" x14ac:dyDescent="0.25">
      <c r="A2595" t="str">
        <f>T("   870880")</f>
        <v xml:space="preserve">   870880</v>
      </c>
      <c r="B2595" t="s">
        <v>520</v>
      </c>
      <c r="C2595">
        <v>7649148</v>
      </c>
      <c r="D2595">
        <v>25570</v>
      </c>
    </row>
    <row r="2596" spans="1:4" x14ac:dyDescent="0.25">
      <c r="A2596" t="str">
        <f>T("   870893")</f>
        <v xml:space="preserve">   870893</v>
      </c>
      <c r="B2596"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2596">
        <v>2462328</v>
      </c>
      <c r="D2596">
        <v>1720</v>
      </c>
    </row>
    <row r="2597" spans="1:4" x14ac:dyDescent="0.25">
      <c r="A2597" t="str">
        <f>T("   870899")</f>
        <v xml:space="preserve">   870899</v>
      </c>
      <c r="B259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597">
        <v>136018459</v>
      </c>
      <c r="D2597">
        <v>129071.7</v>
      </c>
    </row>
    <row r="2598" spans="1:4" x14ac:dyDescent="0.25">
      <c r="A2598" t="str">
        <f>T("   870919")</f>
        <v xml:space="preserve">   870919</v>
      </c>
      <c r="B2598"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2598">
        <v>12077961</v>
      </c>
      <c r="D2598">
        <v>3000</v>
      </c>
    </row>
    <row r="2599" spans="1:4" x14ac:dyDescent="0.25">
      <c r="A2599" t="str">
        <f>T("   870990")</f>
        <v xml:space="preserve">   870990</v>
      </c>
      <c r="B2599"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2599">
        <v>90000</v>
      </c>
      <c r="D2599">
        <v>1.2</v>
      </c>
    </row>
    <row r="2600" spans="1:4" x14ac:dyDescent="0.25">
      <c r="A2600" t="str">
        <f>T("   871110")</f>
        <v xml:space="preserve">   871110</v>
      </c>
      <c r="B2600" t="str">
        <f>T("   Cyclomoteurs, à moteur à piston alternatif, cylindrée &lt;= 50 cm³, y.c. cycles à moteur auxiliaire")</f>
        <v xml:space="preserve">   Cyclomoteurs, à moteur à piston alternatif, cylindrée &lt;= 50 cm³, y.c. cycles à moteur auxiliaire</v>
      </c>
      <c r="C2600">
        <v>784660535</v>
      </c>
      <c r="D2600">
        <v>490922</v>
      </c>
    </row>
    <row r="2601" spans="1:4" x14ac:dyDescent="0.25">
      <c r="A2601" t="str">
        <f>T("   871120")</f>
        <v xml:space="preserve">   871120</v>
      </c>
      <c r="B2601" t="str">
        <f>T("   Motocycles à moteur à piston alternatif, cylindrée &gt; 50 cm³ mais &lt;= 250 cm³")</f>
        <v xml:space="preserve">   Motocycles à moteur à piston alternatif, cylindrée &gt; 50 cm³ mais &lt;= 250 cm³</v>
      </c>
      <c r="C2601">
        <v>18300906725</v>
      </c>
      <c r="D2601">
        <v>10755361</v>
      </c>
    </row>
    <row r="2602" spans="1:4" x14ac:dyDescent="0.25">
      <c r="A2602" t="str">
        <f>T("   871130")</f>
        <v xml:space="preserve">   871130</v>
      </c>
      <c r="B2602" t="str">
        <f>T("   Motocycles à moteur à piston alternatif, cylindrée &gt; 250 cm³ mais &lt;= 500 cm³")</f>
        <v xml:space="preserve">   Motocycles à moteur à piston alternatif, cylindrée &gt; 250 cm³ mais &lt;= 500 cm³</v>
      </c>
      <c r="C2602">
        <v>88115092</v>
      </c>
      <c r="D2602">
        <v>90454</v>
      </c>
    </row>
    <row r="2603" spans="1:4" x14ac:dyDescent="0.25">
      <c r="A2603" t="str">
        <f>T("   871190")</f>
        <v xml:space="preserve">   871190</v>
      </c>
      <c r="B2603" t="str">
        <f>T("   Side-cars")</f>
        <v xml:space="preserve">   Side-cars</v>
      </c>
      <c r="C2603">
        <v>226195674</v>
      </c>
      <c r="D2603">
        <v>126925</v>
      </c>
    </row>
    <row r="2604" spans="1:4" x14ac:dyDescent="0.25">
      <c r="A2604" t="str">
        <f>T("   871200")</f>
        <v xml:space="preserve">   871200</v>
      </c>
      <c r="B2604" t="str">
        <f>T("   BICYCLETTES ET AUTRES CYCLES, -Y.C. LES TRIPORTEURS-, SANS MOTEUR")</f>
        <v xml:space="preserve">   BICYCLETTES ET AUTRES CYCLES, -Y.C. LES TRIPORTEURS-, SANS MOTEUR</v>
      </c>
      <c r="C2604">
        <v>4505546</v>
      </c>
      <c r="D2604">
        <v>23541</v>
      </c>
    </row>
    <row r="2605" spans="1:4" x14ac:dyDescent="0.25">
      <c r="A2605" t="str">
        <f>T("   871310")</f>
        <v xml:space="preserve">   871310</v>
      </c>
      <c r="B2605" t="str">
        <f>T("   Fauteuils roulants et autres véhicules pour invalides (sans mécanisme de propulsion)")</f>
        <v xml:space="preserve">   Fauteuils roulants et autres véhicules pour invalides (sans mécanisme de propulsion)</v>
      </c>
      <c r="C2605">
        <v>2168330</v>
      </c>
      <c r="D2605">
        <v>1128</v>
      </c>
    </row>
    <row r="2606" spans="1:4" x14ac:dyDescent="0.25">
      <c r="A2606" t="str">
        <f>T("   871411")</f>
        <v xml:space="preserve">   871411</v>
      </c>
      <c r="B2606" t="str">
        <f>T("   Selles de motocycles, y.c. de cyclomoteurs")</f>
        <v xml:space="preserve">   Selles de motocycles, y.c. de cyclomoteurs</v>
      </c>
      <c r="C2606">
        <v>165391105</v>
      </c>
      <c r="D2606">
        <v>764845</v>
      </c>
    </row>
    <row r="2607" spans="1:4" x14ac:dyDescent="0.25">
      <c r="A2607" t="str">
        <f>T("   871419")</f>
        <v xml:space="preserve">   871419</v>
      </c>
      <c r="B2607" t="str">
        <f>T("   Parties et accessoires de motocycles, y.c. de cyclomoteurs, n.d.a.")</f>
        <v xml:space="preserve">   Parties et accessoires de motocycles, y.c. de cyclomoteurs, n.d.a.</v>
      </c>
      <c r="C2607">
        <v>577178492</v>
      </c>
      <c r="D2607">
        <v>884847.06</v>
      </c>
    </row>
    <row r="2608" spans="1:4" x14ac:dyDescent="0.25">
      <c r="A2608" t="str">
        <f>T("   871491")</f>
        <v xml:space="preserve">   871491</v>
      </c>
      <c r="B2608" t="str">
        <f>T("   Cadres et fourches, et leurs parties, de bicyclettes, n.d.a.")</f>
        <v xml:space="preserve">   Cadres et fourches, et leurs parties, de bicyclettes, n.d.a.</v>
      </c>
      <c r="C2608">
        <v>480000</v>
      </c>
      <c r="D2608">
        <v>30</v>
      </c>
    </row>
    <row r="2609" spans="1:4" x14ac:dyDescent="0.25">
      <c r="A2609" t="str">
        <f>T("   871499")</f>
        <v xml:space="preserve">   871499</v>
      </c>
      <c r="B2609" t="str">
        <f>T("   Parties et accessoires, de bicyclettes, n.d.a.")</f>
        <v xml:space="preserve">   Parties et accessoires, de bicyclettes, n.d.a.</v>
      </c>
      <c r="C2609">
        <v>46718092</v>
      </c>
      <c r="D2609">
        <v>202196</v>
      </c>
    </row>
    <row r="2610" spans="1:4" x14ac:dyDescent="0.25">
      <c r="A2610" t="str">
        <f>T("   871500")</f>
        <v xml:space="preserve">   871500</v>
      </c>
      <c r="B2610" t="str">
        <f>T("   Landaus, poussettes et voitures simil., pour le transport des enfants, et leurs parties, n.d.a.")</f>
        <v xml:space="preserve">   Landaus, poussettes et voitures simil., pour le transport des enfants, et leurs parties, n.d.a.</v>
      </c>
      <c r="C2610">
        <v>832413</v>
      </c>
      <c r="D2610">
        <v>2500</v>
      </c>
    </row>
    <row r="2611" spans="1:4" x14ac:dyDescent="0.25">
      <c r="A2611" t="str">
        <f>T("   871631")</f>
        <v xml:space="preserve">   871631</v>
      </c>
      <c r="B2611" t="str">
        <f>T("   Remorques-citernes ne circulant pas sur rails")</f>
        <v xml:space="preserve">   Remorques-citernes ne circulant pas sur rails</v>
      </c>
      <c r="C2611">
        <v>91309086</v>
      </c>
      <c r="D2611">
        <v>64000</v>
      </c>
    </row>
    <row r="2612" spans="1:4" x14ac:dyDescent="0.25">
      <c r="A2612" t="str">
        <f>T("   871639")</f>
        <v xml:space="preserve">   871639</v>
      </c>
      <c r="B2612"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2612">
        <v>974365304</v>
      </c>
      <c r="D2612">
        <v>814000</v>
      </c>
    </row>
    <row r="2613" spans="1:4" x14ac:dyDescent="0.25">
      <c r="A2613" t="str">
        <f>T("   871640")</f>
        <v xml:space="preserve">   871640</v>
      </c>
      <c r="B261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2613">
        <v>623081884</v>
      </c>
      <c r="D2613">
        <v>477000</v>
      </c>
    </row>
    <row r="2614" spans="1:4" x14ac:dyDescent="0.25">
      <c r="A2614" t="str">
        <f>T("   871680")</f>
        <v xml:space="preserve">   871680</v>
      </c>
      <c r="B2614" t="str">
        <f>T("   Véhicules dirigés à la main et autres véhicules non automobiles, autres que remorques et semi-remorques")</f>
        <v xml:space="preserve">   Véhicules dirigés à la main et autres véhicules non automobiles, autres que remorques et semi-remorques</v>
      </c>
      <c r="C2614">
        <v>153144333</v>
      </c>
      <c r="D2614">
        <v>192429</v>
      </c>
    </row>
    <row r="2615" spans="1:4" x14ac:dyDescent="0.25">
      <c r="A2615" t="str">
        <f>T("   871690")</f>
        <v xml:space="preserve">   871690</v>
      </c>
      <c r="B2615" t="str">
        <f>T("   PARTIES DE REMORQUES, SEMI-REMORQUES ET AUTRES VÉHICULES NON-AUTOMOBILES, N.D.A.")</f>
        <v xml:space="preserve">   PARTIES DE REMORQUES, SEMI-REMORQUES ET AUTRES VÉHICULES NON-AUTOMOBILES, N.D.A.</v>
      </c>
      <c r="C2615">
        <v>21930576</v>
      </c>
      <c r="D2615">
        <v>36023</v>
      </c>
    </row>
    <row r="2616" spans="1:4" x14ac:dyDescent="0.25">
      <c r="A2616" t="str">
        <f>T("   890790")</f>
        <v xml:space="preserve">   890790</v>
      </c>
      <c r="B2616"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2616">
        <v>10741607</v>
      </c>
      <c r="D2616">
        <v>4800</v>
      </c>
    </row>
    <row r="2617" spans="1:4" x14ac:dyDescent="0.25">
      <c r="A2617" t="str">
        <f>T("   900290")</f>
        <v xml:space="preserve">   900290</v>
      </c>
      <c r="B2617"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2617">
        <v>747283</v>
      </c>
      <c r="D2617">
        <v>260</v>
      </c>
    </row>
    <row r="2618" spans="1:4" x14ac:dyDescent="0.25">
      <c r="A2618" t="str">
        <f>T("   900510")</f>
        <v xml:space="preserve">   900510</v>
      </c>
      <c r="B2618" t="str">
        <f>T("   Jumelles")</f>
        <v xml:space="preserve">   Jumelles</v>
      </c>
      <c r="C2618">
        <v>5000</v>
      </c>
      <c r="D2618">
        <v>13</v>
      </c>
    </row>
    <row r="2619" spans="1:4" x14ac:dyDescent="0.25">
      <c r="A2619" t="str">
        <f>T("   900691")</f>
        <v xml:space="preserve">   900691</v>
      </c>
      <c r="B2619" t="str">
        <f>T("   Parties et accessoires d'appareils photographiques, n.d.a.")</f>
        <v xml:space="preserve">   Parties et accessoires d'appareils photographiques, n.d.a.</v>
      </c>
      <c r="C2619">
        <v>2816144</v>
      </c>
      <c r="D2619">
        <v>10170</v>
      </c>
    </row>
    <row r="2620" spans="1:4" x14ac:dyDescent="0.25">
      <c r="A2620" t="str">
        <f>T("   900719")</f>
        <v xml:space="preserve">   900719</v>
      </c>
      <c r="B2620" t="str">
        <f>T("   Caméras cinématographiques, pour films d'une largeur &gt;= 16 mm (à l'excl. des films double-8 mm)")</f>
        <v xml:space="preserve">   Caméras cinématographiques, pour films d'une largeur &gt;= 16 mm (à l'excl. des films double-8 mm)</v>
      </c>
      <c r="C2620">
        <v>520601</v>
      </c>
      <c r="D2620">
        <v>329</v>
      </c>
    </row>
    <row r="2621" spans="1:4" x14ac:dyDescent="0.25">
      <c r="A2621" t="str">
        <f>T("   901720")</f>
        <v xml:space="preserve">   901720</v>
      </c>
      <c r="B2621" t="str">
        <f>T("   Instruments de dessin, de traçage et de calcul (sauf tables et machines à dessiner ainsi que calculatrices)")</f>
        <v xml:space="preserve">   Instruments de dessin, de traçage et de calcul (sauf tables et machines à dessiner ainsi que calculatrices)</v>
      </c>
      <c r="C2621">
        <v>24534846</v>
      </c>
      <c r="D2621">
        <v>43359</v>
      </c>
    </row>
    <row r="2622" spans="1:4" x14ac:dyDescent="0.25">
      <c r="A2622" t="str">
        <f>T("   901780")</f>
        <v xml:space="preserve">   901780</v>
      </c>
      <c r="B2622" t="str">
        <f>T("   Instruments de mesure de longueurs, pour emploi à la main, n.d.a.")</f>
        <v xml:space="preserve">   Instruments de mesure de longueurs, pour emploi à la main, n.d.a.</v>
      </c>
      <c r="C2622">
        <v>2916598</v>
      </c>
      <c r="D2622">
        <v>10097</v>
      </c>
    </row>
    <row r="2623" spans="1:4" x14ac:dyDescent="0.25">
      <c r="A2623" t="str">
        <f>T("   901811")</f>
        <v xml:space="preserve">   901811</v>
      </c>
      <c r="B2623" t="str">
        <f>T("   ÉLECTROCARDIOGRAPHES")</f>
        <v xml:space="preserve">   ÉLECTROCARDIOGRAPHES</v>
      </c>
      <c r="C2623">
        <v>905855</v>
      </c>
      <c r="D2623">
        <v>32</v>
      </c>
    </row>
    <row r="2624" spans="1:4" x14ac:dyDescent="0.25">
      <c r="A2624" t="str">
        <f>T("   901812")</f>
        <v xml:space="preserve">   901812</v>
      </c>
      <c r="B2624" t="str">
        <f>T("   Appareils de diagnostic par balayage ultrasonique [scanners]")</f>
        <v xml:space="preserve">   Appareils de diagnostic par balayage ultrasonique [scanners]</v>
      </c>
      <c r="C2624">
        <v>2154727</v>
      </c>
      <c r="D2624">
        <v>674</v>
      </c>
    </row>
    <row r="2625" spans="1:4" x14ac:dyDescent="0.25">
      <c r="A2625" t="str">
        <f>T("   901819")</f>
        <v xml:space="preserve">   901819</v>
      </c>
      <c r="B2625" t="s">
        <v>527</v>
      </c>
      <c r="C2625">
        <v>8430402</v>
      </c>
      <c r="D2625">
        <v>1769</v>
      </c>
    </row>
    <row r="2626" spans="1:4" x14ac:dyDescent="0.25">
      <c r="A2626" t="str">
        <f>T("   901820")</f>
        <v xml:space="preserve">   901820</v>
      </c>
      <c r="B2626" t="str">
        <f>T("   Appareils à rayons ultraviolets ou infrarouges, pour la médecine")</f>
        <v xml:space="preserve">   Appareils à rayons ultraviolets ou infrarouges, pour la médecine</v>
      </c>
      <c r="C2626">
        <v>17891309</v>
      </c>
      <c r="D2626">
        <v>7062</v>
      </c>
    </row>
    <row r="2627" spans="1:4" x14ac:dyDescent="0.25">
      <c r="A2627" t="str">
        <f>T("   901831")</f>
        <v xml:space="preserve">   901831</v>
      </c>
      <c r="B2627" t="str">
        <f>T("   Seringues, avec ou sans aiguilles, pour la médecine")</f>
        <v xml:space="preserve">   Seringues, avec ou sans aiguilles, pour la médecine</v>
      </c>
      <c r="C2627">
        <v>47310162</v>
      </c>
      <c r="D2627">
        <v>64239</v>
      </c>
    </row>
    <row r="2628" spans="1:4" x14ac:dyDescent="0.25">
      <c r="A2628" t="str">
        <f>T("   901832")</f>
        <v xml:space="preserve">   901832</v>
      </c>
      <c r="B2628" t="str">
        <f>T("   Aiguilles tubulaires en métal et aiguilles à sutures, pour la médecine")</f>
        <v xml:space="preserve">   Aiguilles tubulaires en métal et aiguilles à sutures, pour la médecine</v>
      </c>
      <c r="C2628">
        <v>22380</v>
      </c>
      <c r="D2628">
        <v>50</v>
      </c>
    </row>
    <row r="2629" spans="1:4" x14ac:dyDescent="0.25">
      <c r="A2629" t="str">
        <f>T("   901839")</f>
        <v xml:space="preserve">   901839</v>
      </c>
      <c r="B2629"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2629">
        <v>3102288</v>
      </c>
      <c r="D2629">
        <v>3520</v>
      </c>
    </row>
    <row r="2630" spans="1:4" x14ac:dyDescent="0.25">
      <c r="A2630" t="str">
        <f>T("   901849")</f>
        <v xml:space="preserve">   901849</v>
      </c>
      <c r="B2630" t="str">
        <f>T("   Instruments et appareils pour l'art dentaire, n.d.a.")</f>
        <v xml:space="preserve">   Instruments et appareils pour l'art dentaire, n.d.a.</v>
      </c>
      <c r="C2630">
        <v>2301276</v>
      </c>
      <c r="D2630">
        <v>2500</v>
      </c>
    </row>
    <row r="2631" spans="1:4" x14ac:dyDescent="0.25">
      <c r="A2631" t="str">
        <f>T("   901890")</f>
        <v xml:space="preserve">   901890</v>
      </c>
      <c r="B2631" t="str">
        <f>T("   Instruments et appareils pour la médecine, la chirurgie ou l'art vétérinaire, n.d.a.")</f>
        <v xml:space="preserve">   Instruments et appareils pour la médecine, la chirurgie ou l'art vétérinaire, n.d.a.</v>
      </c>
      <c r="C2631">
        <v>102788128</v>
      </c>
      <c r="D2631">
        <v>52232.9</v>
      </c>
    </row>
    <row r="2632" spans="1:4" x14ac:dyDescent="0.25">
      <c r="A2632" t="str">
        <f>T("   901910")</f>
        <v xml:space="preserve">   901910</v>
      </c>
      <c r="B2632" t="str">
        <f>T("   Appareils de mécanothérapie, appareils de massage et appareils de psychotechnie")</f>
        <v xml:space="preserve">   Appareils de mécanothérapie, appareils de massage et appareils de psychotechnie</v>
      </c>
      <c r="C2632">
        <v>2407977</v>
      </c>
      <c r="D2632">
        <v>253</v>
      </c>
    </row>
    <row r="2633" spans="1:4" x14ac:dyDescent="0.25">
      <c r="A2633" t="str">
        <f>T("   902110")</f>
        <v xml:space="preserve">   902110</v>
      </c>
      <c r="B2633" t="str">
        <f>T("   Appareils d'orthopédie ou pour fractures")</f>
        <v xml:space="preserve">   Appareils d'orthopédie ou pour fractures</v>
      </c>
      <c r="C2633">
        <v>1831756</v>
      </c>
      <c r="D2633">
        <v>481</v>
      </c>
    </row>
    <row r="2634" spans="1:4" x14ac:dyDescent="0.25">
      <c r="A2634" t="str">
        <f>T("   902214")</f>
        <v xml:space="preserve">   902214</v>
      </c>
      <c r="B2634"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2634">
        <v>14469038</v>
      </c>
      <c r="D2634">
        <v>16993</v>
      </c>
    </row>
    <row r="2635" spans="1:4" x14ac:dyDescent="0.25">
      <c r="A2635" t="str">
        <f>T("   902221")</f>
        <v xml:space="preserve">   902221</v>
      </c>
      <c r="B2635" t="str">
        <f>T("   Appareils utilisant les radiations alpha, bêta ou gamma, à usage médical, chirurgical, dentaire ou vétérinaire")</f>
        <v xml:space="preserve">   Appareils utilisant les radiations alpha, bêta ou gamma, à usage médical, chirurgical, dentaire ou vétérinaire</v>
      </c>
      <c r="C2635">
        <v>1118998</v>
      </c>
      <c r="D2635">
        <v>140</v>
      </c>
    </row>
    <row r="2636" spans="1:4" x14ac:dyDescent="0.25">
      <c r="A2636" t="str">
        <f>T("   902290")</f>
        <v xml:space="preserve">   902290</v>
      </c>
      <c r="B2636" t="s">
        <v>529</v>
      </c>
      <c r="C2636">
        <v>4872335</v>
      </c>
      <c r="D2636">
        <v>6051</v>
      </c>
    </row>
    <row r="2637" spans="1:4" x14ac:dyDescent="0.25">
      <c r="A2637" t="str">
        <f>T("   902300")</f>
        <v xml:space="preserve">   902300</v>
      </c>
      <c r="B2637" t="s">
        <v>530</v>
      </c>
      <c r="C2637">
        <v>23768061</v>
      </c>
      <c r="D2637">
        <v>14304</v>
      </c>
    </row>
    <row r="2638" spans="1:4" x14ac:dyDescent="0.25">
      <c r="A2638" t="str">
        <f>T("   902519")</f>
        <v xml:space="preserve">   902519</v>
      </c>
      <c r="B2638"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2638">
        <v>915006</v>
      </c>
      <c r="D2638">
        <v>417</v>
      </c>
    </row>
    <row r="2639" spans="1:4" x14ac:dyDescent="0.25">
      <c r="A2639" t="str">
        <f>T("   902620")</f>
        <v xml:space="preserve">   902620</v>
      </c>
      <c r="B263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2639">
        <v>67714</v>
      </c>
      <c r="D2639">
        <v>61</v>
      </c>
    </row>
    <row r="2640" spans="1:4" x14ac:dyDescent="0.25">
      <c r="A2640" t="str">
        <f>T("   902780")</f>
        <v xml:space="preserve">   902780</v>
      </c>
      <c r="B264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2640">
        <v>1846346</v>
      </c>
      <c r="D2640">
        <v>44</v>
      </c>
    </row>
    <row r="2641" spans="1:4" x14ac:dyDescent="0.25">
      <c r="A2641" t="str">
        <f>T("   902820")</f>
        <v xml:space="preserve">   902820</v>
      </c>
      <c r="B2641" t="str">
        <f>T("   Compteurs de liquides, y.c. les compteurs pour leur étalonnage")</f>
        <v xml:space="preserve">   Compteurs de liquides, y.c. les compteurs pour leur étalonnage</v>
      </c>
      <c r="C2641">
        <v>17098715</v>
      </c>
      <c r="D2641">
        <v>24357</v>
      </c>
    </row>
    <row r="2642" spans="1:4" x14ac:dyDescent="0.25">
      <c r="A2642" t="str">
        <f>T("   902830")</f>
        <v xml:space="preserve">   902830</v>
      </c>
      <c r="B2642" t="str">
        <f>T("   Compteurs d'électricité, y.c. les compteurs pour leur étalonnage")</f>
        <v xml:space="preserve">   Compteurs d'électricité, y.c. les compteurs pour leur étalonnage</v>
      </c>
      <c r="C2642">
        <v>77364482</v>
      </c>
      <c r="D2642">
        <v>7718</v>
      </c>
    </row>
    <row r="2643" spans="1:4" x14ac:dyDescent="0.25">
      <c r="A2643" t="str">
        <f>T("   902920")</f>
        <v xml:space="preserve">   902920</v>
      </c>
      <c r="B2643" t="str">
        <f>T("   Indicateurs de vitesse et tachymètres; stroboscopes")</f>
        <v xml:space="preserve">   Indicateurs de vitesse et tachymètres; stroboscopes</v>
      </c>
      <c r="C2643">
        <v>56483</v>
      </c>
      <c r="D2643">
        <v>100</v>
      </c>
    </row>
    <row r="2644" spans="1:4" x14ac:dyDescent="0.25">
      <c r="A2644" t="str">
        <f>T("   903039")</f>
        <v xml:space="preserve">   903039</v>
      </c>
      <c r="B2644"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2644">
        <v>6584598</v>
      </c>
      <c r="D2644">
        <v>906</v>
      </c>
    </row>
    <row r="2645" spans="1:4" x14ac:dyDescent="0.25">
      <c r="A2645" t="str">
        <f>T("   903180")</f>
        <v xml:space="preserve">   903180</v>
      </c>
      <c r="B2645" t="str">
        <f>T("   INSTRUMENTS, APPAREILS ET MACHINES DE MESURE OU DE CONTRÔLE, NON-OPTIQUES, N.D.A. DANS LE PRÉSENT CHAPITRE")</f>
        <v xml:space="preserve">   INSTRUMENTS, APPAREILS ET MACHINES DE MESURE OU DE CONTRÔLE, NON-OPTIQUES, N.D.A. DANS LE PRÉSENT CHAPITRE</v>
      </c>
      <c r="C2645">
        <v>121606500</v>
      </c>
      <c r="D2645">
        <v>7160</v>
      </c>
    </row>
    <row r="2646" spans="1:4" x14ac:dyDescent="0.25">
      <c r="A2646" t="str">
        <f>T("   903289")</f>
        <v xml:space="preserve">   903289</v>
      </c>
      <c r="B2646" t="s">
        <v>534</v>
      </c>
      <c r="C2646">
        <v>16999905</v>
      </c>
      <c r="D2646">
        <v>9060</v>
      </c>
    </row>
    <row r="2647" spans="1:4" x14ac:dyDescent="0.25">
      <c r="A2647" t="str">
        <f>T("   910119")</f>
        <v xml:space="preserve">   910119</v>
      </c>
      <c r="B2647"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2647">
        <v>400000</v>
      </c>
      <c r="D2647">
        <v>90</v>
      </c>
    </row>
    <row r="2648" spans="1:4" x14ac:dyDescent="0.25">
      <c r="A2648" t="str">
        <f>T("   910219")</f>
        <v xml:space="preserve">   910219</v>
      </c>
      <c r="B2648"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2648">
        <v>267494</v>
      </c>
      <c r="D2648">
        <v>435</v>
      </c>
    </row>
    <row r="2649" spans="1:4" x14ac:dyDescent="0.25">
      <c r="A2649" t="str">
        <f>T("   910229")</f>
        <v xml:space="preserve">   910229</v>
      </c>
      <c r="B2649"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2649">
        <v>99579</v>
      </c>
      <c r="D2649">
        <v>400</v>
      </c>
    </row>
    <row r="2650" spans="1:4" x14ac:dyDescent="0.25">
      <c r="A2650" t="str">
        <f>T("   910390")</f>
        <v xml:space="preserve">   910390</v>
      </c>
      <c r="B2650"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2650">
        <v>1167294</v>
      </c>
      <c r="D2650">
        <v>2620</v>
      </c>
    </row>
    <row r="2651" spans="1:4" x14ac:dyDescent="0.25">
      <c r="A2651" t="str">
        <f>T("   910519")</f>
        <v xml:space="preserve">   910519</v>
      </c>
      <c r="B2651" t="str">
        <f>T("   RÉVEILS NE FONCTIONNANT PAS ÉLECTRIQUEMENT [01/01/1988-31/12/1994: RÉVEILS (AUTRES QUE FONCTIONNANT A PILE OU A ACCUMULATEUR OU SUR SECTEUR)]")</f>
        <v xml:space="preserve">   RÉVEILS NE FONCTIONNANT PAS ÉLECTRIQUEMENT [01/01/1988-31/12/1994: RÉVEILS (AUTRES QUE FONCTIONNANT A PILE OU A ACCUMULATEUR OU SUR SECTEUR)]</v>
      </c>
      <c r="C2651">
        <v>500000</v>
      </c>
      <c r="D2651">
        <v>2300</v>
      </c>
    </row>
    <row r="2652" spans="1:4" x14ac:dyDescent="0.25">
      <c r="A2652" t="str">
        <f>T("   910529")</f>
        <v xml:space="preserve">   910529</v>
      </c>
      <c r="B2652" t="str">
        <f>T("   Pendules et horloges murales ne fonctionnant pas électriquement")</f>
        <v xml:space="preserve">   Pendules et horloges murales ne fonctionnant pas électriquement</v>
      </c>
      <c r="C2652">
        <v>2389536</v>
      </c>
      <c r="D2652">
        <v>4356</v>
      </c>
    </row>
    <row r="2653" spans="1:4" x14ac:dyDescent="0.25">
      <c r="A2653" t="str">
        <f>T("   920290")</f>
        <v xml:space="preserve">   920290</v>
      </c>
      <c r="B2653" t="str">
        <f>T("   Guitares, harpes et autres instruments de musique à cordes (autres qu'à clavier et à cordes frottées)")</f>
        <v xml:space="preserve">   Guitares, harpes et autres instruments de musique à cordes (autres qu'à clavier et à cordes frottées)</v>
      </c>
      <c r="C2653">
        <v>2657886</v>
      </c>
      <c r="D2653">
        <v>5300</v>
      </c>
    </row>
    <row r="2654" spans="1:4" x14ac:dyDescent="0.25">
      <c r="A2654" t="str">
        <f>T("   920590")</f>
        <v xml:space="preserve">   920590</v>
      </c>
      <c r="B2654" t="s">
        <v>536</v>
      </c>
      <c r="C2654">
        <v>330000</v>
      </c>
      <c r="D2654">
        <v>200</v>
      </c>
    </row>
    <row r="2655" spans="1:4" x14ac:dyDescent="0.25">
      <c r="A2655" t="str">
        <f>T("   920600")</f>
        <v xml:space="preserve">   920600</v>
      </c>
      <c r="B2655"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2655">
        <v>626106</v>
      </c>
      <c r="D2655">
        <v>2500</v>
      </c>
    </row>
    <row r="2656" spans="1:4" x14ac:dyDescent="0.25">
      <c r="A2656" t="str">
        <f>T("   920790")</f>
        <v xml:space="preserve">   920790</v>
      </c>
      <c r="B2656" t="str">
        <f>T("   Accordéons électriques et autres instruments de musique électriques")</f>
        <v xml:space="preserve">   Accordéons électriques et autres instruments de musique électriques</v>
      </c>
      <c r="C2656">
        <v>31481330</v>
      </c>
      <c r="D2656">
        <v>25260</v>
      </c>
    </row>
    <row r="2657" spans="1:4" x14ac:dyDescent="0.25">
      <c r="A2657" t="str">
        <f>T("   940130")</f>
        <v xml:space="preserve">   940130</v>
      </c>
      <c r="B2657"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2657">
        <v>71774968</v>
      </c>
      <c r="D2657">
        <v>40755</v>
      </c>
    </row>
    <row r="2658" spans="1:4" x14ac:dyDescent="0.25">
      <c r="A2658" t="str">
        <f>T("   940159")</f>
        <v xml:space="preserve">   940159</v>
      </c>
      <c r="B2658" t="str">
        <f>T("   SIÈGES EN OSIER OU EN MATIÈRES SIMIL. (SAUF EN BAMBOU OU EN ROTIN)")</f>
        <v xml:space="preserve">   SIÈGES EN OSIER OU EN MATIÈRES SIMIL. (SAUF EN BAMBOU OU EN ROTIN)</v>
      </c>
      <c r="C2658">
        <v>72105412</v>
      </c>
      <c r="D2658">
        <v>103908</v>
      </c>
    </row>
    <row r="2659" spans="1:4" x14ac:dyDescent="0.25">
      <c r="A2659" t="str">
        <f>T("   940161")</f>
        <v xml:space="preserve">   940161</v>
      </c>
      <c r="B2659" t="str">
        <f>T("   Sièges, avec bâti en bois, rembourrés (non transformables en lits)")</f>
        <v xml:space="preserve">   Sièges, avec bâti en bois, rembourrés (non transformables en lits)</v>
      </c>
      <c r="C2659">
        <v>67818020</v>
      </c>
      <c r="D2659">
        <v>66955</v>
      </c>
    </row>
    <row r="2660" spans="1:4" x14ac:dyDescent="0.25">
      <c r="A2660" t="str">
        <f>T("   940169")</f>
        <v xml:space="preserve">   940169</v>
      </c>
      <c r="B2660" t="str">
        <f>T("   Sièges, avec bâti en bois, non rembourrés")</f>
        <v xml:space="preserve">   Sièges, avec bâti en bois, non rembourrés</v>
      </c>
      <c r="C2660">
        <v>14698948</v>
      </c>
      <c r="D2660">
        <v>19773</v>
      </c>
    </row>
    <row r="2661" spans="1:4" x14ac:dyDescent="0.25">
      <c r="A2661" t="str">
        <f>T("   940171")</f>
        <v xml:space="preserve">   940171</v>
      </c>
      <c r="B2661"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2661">
        <v>7760000</v>
      </c>
      <c r="D2661">
        <v>8117</v>
      </c>
    </row>
    <row r="2662" spans="1:4" x14ac:dyDescent="0.25">
      <c r="A2662" t="str">
        <f>T("   940179")</f>
        <v xml:space="preserve">   940179</v>
      </c>
      <c r="B2662"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662">
        <v>7433678</v>
      </c>
      <c r="D2662">
        <v>30062</v>
      </c>
    </row>
    <row r="2663" spans="1:4" x14ac:dyDescent="0.25">
      <c r="A2663" t="str">
        <f>T("   940180")</f>
        <v xml:space="preserve">   940180</v>
      </c>
      <c r="B2663" t="str">
        <f>T("   Sièges, n.d.a.")</f>
        <v xml:space="preserve">   Sièges, n.d.a.</v>
      </c>
      <c r="C2663">
        <v>31279930</v>
      </c>
      <c r="D2663">
        <v>56825</v>
      </c>
    </row>
    <row r="2664" spans="1:4" x14ac:dyDescent="0.25">
      <c r="A2664" t="str">
        <f>T("   940190")</f>
        <v xml:space="preserve">   940190</v>
      </c>
      <c r="B2664" t="str">
        <f>T("   Parties de sièges, n.d.a.")</f>
        <v xml:space="preserve">   Parties de sièges, n.d.a.</v>
      </c>
      <c r="C2664">
        <v>62877</v>
      </c>
      <c r="D2664">
        <v>43</v>
      </c>
    </row>
    <row r="2665" spans="1:4" x14ac:dyDescent="0.25">
      <c r="A2665" t="str">
        <f>T("   940210")</f>
        <v xml:space="preserve">   940210</v>
      </c>
      <c r="B2665"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2665">
        <v>569175</v>
      </c>
      <c r="D2665">
        <v>620</v>
      </c>
    </row>
    <row r="2666" spans="1:4" x14ac:dyDescent="0.25">
      <c r="A2666" t="str">
        <f>T("   940290")</f>
        <v xml:space="preserve">   940290</v>
      </c>
      <c r="B266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2666">
        <v>31482026</v>
      </c>
      <c r="D2666">
        <v>7909</v>
      </c>
    </row>
    <row r="2667" spans="1:4" x14ac:dyDescent="0.25">
      <c r="A2667" t="str">
        <f>T("   940310")</f>
        <v xml:space="preserve">   940310</v>
      </c>
      <c r="B2667" t="str">
        <f>T("   Meubles de bureau en métal (sauf sièges)")</f>
        <v xml:space="preserve">   Meubles de bureau en métal (sauf sièges)</v>
      </c>
      <c r="C2667">
        <v>31364063</v>
      </c>
      <c r="D2667">
        <v>69370</v>
      </c>
    </row>
    <row r="2668" spans="1:4" x14ac:dyDescent="0.25">
      <c r="A2668" t="str">
        <f>T("   940320")</f>
        <v xml:space="preserve">   940320</v>
      </c>
      <c r="B266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668">
        <v>54479956</v>
      </c>
      <c r="D2668">
        <v>88630</v>
      </c>
    </row>
    <row r="2669" spans="1:4" x14ac:dyDescent="0.25">
      <c r="A2669" t="str">
        <f>T("   940330")</f>
        <v xml:space="preserve">   940330</v>
      </c>
      <c r="B2669" t="str">
        <f>T("   Meubles de bureau en bois (sauf sièges)")</f>
        <v xml:space="preserve">   Meubles de bureau en bois (sauf sièges)</v>
      </c>
      <c r="C2669">
        <v>25592949</v>
      </c>
      <c r="D2669">
        <v>77175</v>
      </c>
    </row>
    <row r="2670" spans="1:4" x14ac:dyDescent="0.25">
      <c r="A2670" t="str">
        <f>T("   940340")</f>
        <v xml:space="preserve">   940340</v>
      </c>
      <c r="B2670" t="str">
        <f>T("   Meubles de cuisine, en bois (sauf sièges)")</f>
        <v xml:space="preserve">   Meubles de cuisine, en bois (sauf sièges)</v>
      </c>
      <c r="C2670">
        <v>4998311</v>
      </c>
      <c r="D2670">
        <v>6610</v>
      </c>
    </row>
    <row r="2671" spans="1:4" x14ac:dyDescent="0.25">
      <c r="A2671" t="str">
        <f>T("   940350")</f>
        <v xml:space="preserve">   940350</v>
      </c>
      <c r="B2671" t="str">
        <f>T("   Meubles pour chambres à coucher, en bois (sauf sièges)")</f>
        <v xml:space="preserve">   Meubles pour chambres à coucher, en bois (sauf sièges)</v>
      </c>
      <c r="C2671">
        <v>30896077</v>
      </c>
      <c r="D2671">
        <v>82276</v>
      </c>
    </row>
    <row r="2672" spans="1:4" x14ac:dyDescent="0.25">
      <c r="A2672" t="str">
        <f>T("   940360")</f>
        <v xml:space="preserve">   940360</v>
      </c>
      <c r="B2672" t="str">
        <f>T("   Meubles en bois (autres que pour bureaux, cuisines ou chambres à coucher et autres que sièges)")</f>
        <v xml:space="preserve">   Meubles en bois (autres que pour bureaux, cuisines ou chambres à coucher et autres que sièges)</v>
      </c>
      <c r="C2672">
        <v>275701291</v>
      </c>
      <c r="D2672">
        <v>615383</v>
      </c>
    </row>
    <row r="2673" spans="1:4" x14ac:dyDescent="0.25">
      <c r="A2673" t="str">
        <f>T("   940370")</f>
        <v xml:space="preserve">   940370</v>
      </c>
      <c r="B2673"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2673">
        <v>163246474</v>
      </c>
      <c r="D2673">
        <v>374744</v>
      </c>
    </row>
    <row r="2674" spans="1:4" x14ac:dyDescent="0.25">
      <c r="A2674" t="str">
        <f>T("   940380")</f>
        <v xml:space="preserve">   940380</v>
      </c>
      <c r="B2674" t="str">
        <f>T("   Meubles en rotin, osier, bambou ou autres matières (sauf métal, bois et matières plastiques)")</f>
        <v xml:space="preserve">   Meubles en rotin, osier, bambou ou autres matières (sauf métal, bois et matières plastiques)</v>
      </c>
      <c r="C2674">
        <v>77381322</v>
      </c>
      <c r="D2674">
        <v>144881</v>
      </c>
    </row>
    <row r="2675" spans="1:4" x14ac:dyDescent="0.25">
      <c r="A2675" t="str">
        <f>T("   940381")</f>
        <v xml:space="preserve">   940381</v>
      </c>
      <c r="B2675"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2675">
        <v>3389346</v>
      </c>
      <c r="D2675">
        <v>7607</v>
      </c>
    </row>
    <row r="2676" spans="1:4" x14ac:dyDescent="0.25">
      <c r="A2676" t="str">
        <f>T("   940389")</f>
        <v xml:space="preserve">   940389</v>
      </c>
      <c r="B2676"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2676">
        <v>203084852</v>
      </c>
      <c r="D2676">
        <v>465901</v>
      </c>
    </row>
    <row r="2677" spans="1:4" x14ac:dyDescent="0.25">
      <c r="A2677" t="str">
        <f>T("   940390")</f>
        <v xml:space="preserve">   940390</v>
      </c>
      <c r="B2677"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2677">
        <v>10250689</v>
      </c>
      <c r="D2677">
        <v>21008</v>
      </c>
    </row>
    <row r="2678" spans="1:4" x14ac:dyDescent="0.25">
      <c r="A2678" t="str">
        <f>T("   940429")</f>
        <v xml:space="preserve">   940429</v>
      </c>
      <c r="B2678"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678">
        <v>2086711</v>
      </c>
      <c r="D2678">
        <v>2912</v>
      </c>
    </row>
    <row r="2679" spans="1:4" x14ac:dyDescent="0.25">
      <c r="A2679" t="str">
        <f>T("   940490")</f>
        <v xml:space="preserve">   940490</v>
      </c>
      <c r="B2679" t="s">
        <v>537</v>
      </c>
      <c r="C2679">
        <v>17095414</v>
      </c>
      <c r="D2679">
        <v>32973.449999999997</v>
      </c>
    </row>
    <row r="2680" spans="1:4" x14ac:dyDescent="0.25">
      <c r="A2680" t="str">
        <f>T("   940510")</f>
        <v xml:space="preserve">   940510</v>
      </c>
      <c r="B2680"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2680">
        <v>9024196</v>
      </c>
      <c r="D2680">
        <v>24933</v>
      </c>
    </row>
    <row r="2681" spans="1:4" x14ac:dyDescent="0.25">
      <c r="A2681" t="str">
        <f>T("   940520")</f>
        <v xml:space="preserve">   940520</v>
      </c>
      <c r="B2681" t="str">
        <f>T("   Lampes de chevet, lampes de bureau et lampadaires d'intérieur, électriques")</f>
        <v xml:space="preserve">   Lampes de chevet, lampes de bureau et lampadaires d'intérieur, électriques</v>
      </c>
      <c r="C2681">
        <v>6187061</v>
      </c>
      <c r="D2681">
        <v>12113</v>
      </c>
    </row>
    <row r="2682" spans="1:4" x14ac:dyDescent="0.25">
      <c r="A2682" t="str">
        <f>T("   940530")</f>
        <v xml:space="preserve">   940530</v>
      </c>
      <c r="B2682" t="str">
        <f>T("   GUIRLANDES ÉLECTRIQUES POUR ARBRES DE NOÙL")</f>
        <v xml:space="preserve">   GUIRLANDES ÉLECTRIQUES POUR ARBRES DE NOÙL</v>
      </c>
      <c r="C2682">
        <v>9246203</v>
      </c>
      <c r="D2682">
        <v>38047</v>
      </c>
    </row>
    <row r="2683" spans="1:4" x14ac:dyDescent="0.25">
      <c r="A2683" t="str">
        <f>T("   940540")</f>
        <v xml:space="preserve">   940540</v>
      </c>
      <c r="B2683" t="str">
        <f>T("   Appareils d'éclairage électrique, n.d.a.")</f>
        <v xml:space="preserve">   Appareils d'éclairage électrique, n.d.a.</v>
      </c>
      <c r="C2683">
        <v>29188887</v>
      </c>
      <c r="D2683">
        <v>45852</v>
      </c>
    </row>
    <row r="2684" spans="1:4" x14ac:dyDescent="0.25">
      <c r="A2684" t="str">
        <f>T("   940560")</f>
        <v xml:space="preserve">   940560</v>
      </c>
      <c r="B2684"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2684">
        <v>2109545</v>
      </c>
      <c r="D2684">
        <v>4018</v>
      </c>
    </row>
    <row r="2685" spans="1:4" x14ac:dyDescent="0.25">
      <c r="A2685" t="str">
        <f>T("   940599")</f>
        <v xml:space="preserve">   940599</v>
      </c>
      <c r="B2685" t="str">
        <f>T("   Parties d'appareils d'éclairage, de lampes-réclames, d'enseignes lumineuses, de plaques indicatrices lumineuses, et simil., n.d.a.")</f>
        <v xml:space="preserve">   Parties d'appareils d'éclairage, de lampes-réclames, d'enseignes lumineuses, de plaques indicatrices lumineuses, et simil., n.d.a.</v>
      </c>
      <c r="C2685">
        <v>14182403</v>
      </c>
      <c r="D2685">
        <v>23855</v>
      </c>
    </row>
    <row r="2686" spans="1:4" x14ac:dyDescent="0.25">
      <c r="A2686" t="str">
        <f>T("   940600")</f>
        <v xml:space="preserve">   940600</v>
      </c>
      <c r="B2686" t="str">
        <f>T("   Constructions préfabriquées, même incomplètes ou non encore montées")</f>
        <v xml:space="preserve">   Constructions préfabriquées, même incomplètes ou non encore montées</v>
      </c>
      <c r="C2686">
        <v>102825813</v>
      </c>
      <c r="D2686">
        <v>120500</v>
      </c>
    </row>
    <row r="2687" spans="1:4" x14ac:dyDescent="0.25">
      <c r="A2687" t="str">
        <f>T("   950100")</f>
        <v xml:space="preserve">   950100</v>
      </c>
      <c r="B2687"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2687">
        <v>5072267</v>
      </c>
      <c r="D2687">
        <v>5725</v>
      </c>
    </row>
    <row r="2688" spans="1:4" x14ac:dyDescent="0.25">
      <c r="A2688" t="str">
        <f>T("   950300")</f>
        <v xml:space="preserve">   950300</v>
      </c>
      <c r="B2688"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2688">
        <v>31167409</v>
      </c>
      <c r="D2688">
        <v>106237</v>
      </c>
    </row>
    <row r="2689" spans="1:4" x14ac:dyDescent="0.25">
      <c r="A2689" t="str">
        <f>T("   950350")</f>
        <v xml:space="preserve">   950350</v>
      </c>
      <c r="B2689" t="str">
        <f>T("   INSTRUMENTS ET APPAREILS DE MUSIQUE-JOUETS")</f>
        <v xml:space="preserve">   INSTRUMENTS ET APPAREILS DE MUSIQUE-JOUETS</v>
      </c>
      <c r="C2689">
        <v>101243</v>
      </c>
      <c r="D2689">
        <v>30</v>
      </c>
    </row>
    <row r="2690" spans="1:4" x14ac:dyDescent="0.25">
      <c r="A2690" t="str">
        <f>T("   950380")</f>
        <v xml:space="preserve">   950380</v>
      </c>
      <c r="B2690"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2690">
        <v>630000</v>
      </c>
      <c r="D2690">
        <v>4400</v>
      </c>
    </row>
    <row r="2691" spans="1:4" x14ac:dyDescent="0.25">
      <c r="A2691" t="str">
        <f>T("   950390")</f>
        <v xml:space="preserve">   950390</v>
      </c>
      <c r="B2691" t="str">
        <f>T("   Jouets, n.d.a.")</f>
        <v xml:space="preserve">   Jouets, n.d.a.</v>
      </c>
      <c r="C2691">
        <v>4065693</v>
      </c>
      <c r="D2691">
        <v>20711</v>
      </c>
    </row>
    <row r="2692" spans="1:4" x14ac:dyDescent="0.25">
      <c r="A2692" t="str">
        <f>T("   950430")</f>
        <v xml:space="preserve">   950430</v>
      </c>
      <c r="B2692" t="s">
        <v>538</v>
      </c>
      <c r="C2692">
        <v>364058</v>
      </c>
      <c r="D2692">
        <v>1204</v>
      </c>
    </row>
    <row r="2693" spans="1:4" x14ac:dyDescent="0.25">
      <c r="A2693" t="str">
        <f>T("   950440")</f>
        <v xml:space="preserve">   950440</v>
      </c>
      <c r="B2693" t="str">
        <f>T("   Cartes à jouer")</f>
        <v xml:space="preserve">   Cartes à jouer</v>
      </c>
      <c r="C2693">
        <v>610657</v>
      </c>
      <c r="D2693">
        <v>3015</v>
      </c>
    </row>
    <row r="2694" spans="1:4" x14ac:dyDescent="0.25">
      <c r="A2694" t="str">
        <f>T("   950490")</f>
        <v xml:space="preserve">   950490</v>
      </c>
      <c r="B2694" t="s">
        <v>539</v>
      </c>
      <c r="C2694">
        <v>15599972</v>
      </c>
      <c r="D2694">
        <v>19023</v>
      </c>
    </row>
    <row r="2695" spans="1:4" x14ac:dyDescent="0.25">
      <c r="A2695" t="str">
        <f>T("   950510")</f>
        <v xml:space="preserve">   950510</v>
      </c>
      <c r="B2695" t="str">
        <f>T("   Articles pour fêtes de Noël (sauf bougies et guirlandes électriques)")</f>
        <v xml:space="preserve">   Articles pour fêtes de Noël (sauf bougies et guirlandes électriques)</v>
      </c>
      <c r="C2695">
        <v>7336171</v>
      </c>
      <c r="D2695">
        <v>16944</v>
      </c>
    </row>
    <row r="2696" spans="1:4" x14ac:dyDescent="0.25">
      <c r="A2696" t="str">
        <f>T("   950590")</f>
        <v xml:space="preserve">   950590</v>
      </c>
      <c r="B2696" t="str">
        <f>T("   Articles pour fêtes, carnaval ou autres divertissements, y.c. les articles de magie et articles-surprises, n.d.a.")</f>
        <v xml:space="preserve">   Articles pour fêtes, carnaval ou autres divertissements, y.c. les articles de magie et articles-surprises, n.d.a.</v>
      </c>
      <c r="C2696">
        <v>49743774</v>
      </c>
      <c r="D2696">
        <v>120021</v>
      </c>
    </row>
    <row r="2697" spans="1:4" x14ac:dyDescent="0.25">
      <c r="A2697" t="str">
        <f>T("   950619")</f>
        <v xml:space="preserve">   950619</v>
      </c>
      <c r="B2697"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2697">
        <v>210000</v>
      </c>
      <c r="D2697">
        <v>80</v>
      </c>
    </row>
    <row r="2698" spans="1:4" x14ac:dyDescent="0.25">
      <c r="A2698" t="str">
        <f>T("   950659")</f>
        <v xml:space="preserve">   950659</v>
      </c>
      <c r="B2698"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2698">
        <v>314861</v>
      </c>
      <c r="D2698">
        <v>800</v>
      </c>
    </row>
    <row r="2699" spans="1:4" x14ac:dyDescent="0.25">
      <c r="A2699" t="str">
        <f>T("   950662")</f>
        <v xml:space="preserve">   950662</v>
      </c>
      <c r="B2699" t="str">
        <f>T("   Ballons et balles gonflables")</f>
        <v xml:space="preserve">   Ballons et balles gonflables</v>
      </c>
      <c r="C2699">
        <v>2788464</v>
      </c>
      <c r="D2699">
        <v>11773</v>
      </c>
    </row>
    <row r="2700" spans="1:4" x14ac:dyDescent="0.25">
      <c r="A2700" t="str">
        <f>T("   950669")</f>
        <v xml:space="preserve">   950669</v>
      </c>
      <c r="B2700" t="str">
        <f>T("   Ballons et balles (autres que gonflables et autres que balles de golf ou de tennis de table)")</f>
        <v xml:space="preserve">   Ballons et balles (autres que gonflables et autres que balles de golf ou de tennis de table)</v>
      </c>
      <c r="C2700">
        <v>10683752</v>
      </c>
      <c r="D2700">
        <v>27717</v>
      </c>
    </row>
    <row r="2701" spans="1:4" x14ac:dyDescent="0.25">
      <c r="A2701" t="str">
        <f>T("   950691")</f>
        <v xml:space="preserve">   950691</v>
      </c>
      <c r="B2701" t="str">
        <f>T("   Articles et matériel pour la culture physique, la gymnastique ou l'athlétisme")</f>
        <v xml:space="preserve">   Articles et matériel pour la culture physique, la gymnastique ou l'athlétisme</v>
      </c>
      <c r="C2701">
        <v>18059599</v>
      </c>
      <c r="D2701">
        <v>17356</v>
      </c>
    </row>
    <row r="2702" spans="1:4" x14ac:dyDescent="0.25">
      <c r="A2702" t="str">
        <f>T("   950699")</f>
        <v xml:space="preserve">   950699</v>
      </c>
      <c r="B2702" t="str">
        <f>T("   Articles et matériel pour le sport et les jeux de plein air, n.d.a.; piscines et pataugeoires")</f>
        <v xml:space="preserve">   Articles et matériel pour le sport et les jeux de plein air, n.d.a.; piscines et pataugeoires</v>
      </c>
      <c r="C2702">
        <v>8184865</v>
      </c>
      <c r="D2702">
        <v>23108</v>
      </c>
    </row>
    <row r="2703" spans="1:4" x14ac:dyDescent="0.25">
      <c r="A2703" t="str">
        <f>T("   960310")</f>
        <v xml:space="preserve">   960310</v>
      </c>
      <c r="B2703" t="str">
        <f>T("   Balais et balayettes consistant en matières végétales en bottes liées")</f>
        <v xml:space="preserve">   Balais et balayettes consistant en matières végétales en bottes liées</v>
      </c>
      <c r="C2703">
        <v>27424119</v>
      </c>
      <c r="D2703">
        <v>87236</v>
      </c>
    </row>
    <row r="2704" spans="1:4" x14ac:dyDescent="0.25">
      <c r="A2704" t="str">
        <f>T("   960321")</f>
        <v xml:space="preserve">   960321</v>
      </c>
      <c r="B2704" t="str">
        <f>T("   Brosses à dent, y.c. brosses à prothèses dentaires")</f>
        <v xml:space="preserve">   Brosses à dent, y.c. brosses à prothèses dentaires</v>
      </c>
      <c r="C2704">
        <v>9555074</v>
      </c>
      <c r="D2704">
        <v>25807</v>
      </c>
    </row>
    <row r="2705" spans="1:4" x14ac:dyDescent="0.25">
      <c r="A2705" t="str">
        <f>T("   960329")</f>
        <v xml:space="preserve">   960329</v>
      </c>
      <c r="B2705"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2705">
        <v>8046866</v>
      </c>
      <c r="D2705">
        <v>17833</v>
      </c>
    </row>
    <row r="2706" spans="1:4" x14ac:dyDescent="0.25">
      <c r="A2706" t="str">
        <f>T("   960330")</f>
        <v xml:space="preserve">   960330</v>
      </c>
      <c r="B2706" t="str">
        <f>T("   Pinceaux et brosses pour artistes, pinceaux à écrire et pinceaux simil. pour l'application des produits cosmétiques")</f>
        <v xml:space="preserve">   Pinceaux et brosses pour artistes, pinceaux à écrire et pinceaux simil. pour l'application des produits cosmétiques</v>
      </c>
      <c r="C2706">
        <v>2107594</v>
      </c>
      <c r="D2706">
        <v>990</v>
      </c>
    </row>
    <row r="2707" spans="1:4" x14ac:dyDescent="0.25">
      <c r="A2707" t="str">
        <f>T("   960340")</f>
        <v xml:space="preserve">   960340</v>
      </c>
      <c r="B2707"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2707">
        <v>6533584</v>
      </c>
      <c r="D2707">
        <v>21330</v>
      </c>
    </row>
    <row r="2708" spans="1:4" x14ac:dyDescent="0.25">
      <c r="A2708" t="str">
        <f>T("   960390")</f>
        <v xml:space="preserve">   960390</v>
      </c>
      <c r="B2708"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708">
        <v>324509</v>
      </c>
      <c r="D2708">
        <v>584</v>
      </c>
    </row>
    <row r="2709" spans="1:4" x14ac:dyDescent="0.25">
      <c r="A2709" t="str">
        <f>T("   960500")</f>
        <v xml:space="preserve">   960500</v>
      </c>
      <c r="B2709"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2709">
        <v>2206000</v>
      </c>
      <c r="D2709">
        <v>7000</v>
      </c>
    </row>
    <row r="2710" spans="1:4" x14ac:dyDescent="0.25">
      <c r="A2710" t="str">
        <f>T("   960621")</f>
        <v xml:space="preserve">   960621</v>
      </c>
      <c r="B2710" t="str">
        <f>T("   Boutons en matières plastiques (non recouverts de matières textiles) (sauf boutons-pressions et boutons de manchette)")</f>
        <v xml:space="preserve">   Boutons en matières plastiques (non recouverts de matières textiles) (sauf boutons-pressions et boutons de manchette)</v>
      </c>
      <c r="C2710">
        <v>18112744</v>
      </c>
      <c r="D2710">
        <v>67453</v>
      </c>
    </row>
    <row r="2711" spans="1:4" x14ac:dyDescent="0.25">
      <c r="A2711" t="str">
        <f>T("   960629")</f>
        <v xml:space="preserve">   960629</v>
      </c>
      <c r="B2711"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2711">
        <v>70197871</v>
      </c>
      <c r="D2711">
        <v>180126</v>
      </c>
    </row>
    <row r="2712" spans="1:4" x14ac:dyDescent="0.25">
      <c r="A2712" t="str">
        <f>T("   960711")</f>
        <v xml:space="preserve">   960711</v>
      </c>
      <c r="B2712" t="str">
        <f>T("   Fermetures à glissière avec agrafes en métaux communs")</f>
        <v xml:space="preserve">   Fermetures à glissière avec agrafes en métaux communs</v>
      </c>
      <c r="C2712">
        <v>2253031</v>
      </c>
      <c r="D2712">
        <v>4823</v>
      </c>
    </row>
    <row r="2713" spans="1:4" x14ac:dyDescent="0.25">
      <c r="A2713" t="str">
        <f>T("   960719")</f>
        <v xml:space="preserve">   960719</v>
      </c>
      <c r="B2713" t="str">
        <f>T("   Fermetures à glissière sans agrafes et autres qu'en métaux communs")</f>
        <v xml:space="preserve">   Fermetures à glissière sans agrafes et autres qu'en métaux communs</v>
      </c>
      <c r="C2713">
        <v>14972794</v>
      </c>
      <c r="D2713">
        <v>33350</v>
      </c>
    </row>
    <row r="2714" spans="1:4" x14ac:dyDescent="0.25">
      <c r="A2714" t="str">
        <f>T("   960810")</f>
        <v xml:space="preserve">   960810</v>
      </c>
      <c r="B2714" t="str">
        <f>T("   Stylos et crayons à bille")</f>
        <v xml:space="preserve">   Stylos et crayons à bille</v>
      </c>
      <c r="C2714">
        <v>17238137</v>
      </c>
      <c r="D2714">
        <v>54581</v>
      </c>
    </row>
    <row r="2715" spans="1:4" x14ac:dyDescent="0.25">
      <c r="A2715" t="str">
        <f>T("   960820")</f>
        <v xml:space="preserve">   960820</v>
      </c>
      <c r="B2715" t="str">
        <f>T("   Stylos et marqueurs à mèche feutre ou à autres pointes poreuses")</f>
        <v xml:space="preserve">   Stylos et marqueurs à mèche feutre ou à autres pointes poreuses</v>
      </c>
      <c r="C2715">
        <v>2051248</v>
      </c>
      <c r="D2715">
        <v>1272</v>
      </c>
    </row>
    <row r="2716" spans="1:4" x14ac:dyDescent="0.25">
      <c r="A2716" t="str">
        <f>T("   960839")</f>
        <v xml:space="preserve">   960839</v>
      </c>
      <c r="B2716" t="str">
        <f>T("   Stylos à plume et autres stylos (autres qu'à dessiner à l'encre de Chine)")</f>
        <v xml:space="preserve">   Stylos à plume et autres stylos (autres qu'à dessiner à l'encre de Chine)</v>
      </c>
      <c r="C2716">
        <v>769977</v>
      </c>
      <c r="D2716">
        <v>2320</v>
      </c>
    </row>
    <row r="2717" spans="1:4" x14ac:dyDescent="0.25">
      <c r="A2717" t="str">
        <f>T("   960910")</f>
        <v xml:space="preserve">   960910</v>
      </c>
      <c r="B2717" t="str">
        <f>T("   Crayons à gaine")</f>
        <v xml:space="preserve">   Crayons à gaine</v>
      </c>
      <c r="C2717">
        <v>6082008</v>
      </c>
      <c r="D2717">
        <v>12275</v>
      </c>
    </row>
    <row r="2718" spans="1:4" x14ac:dyDescent="0.25">
      <c r="A2718" t="str">
        <f>T("   960990")</f>
        <v xml:space="preserve">   960990</v>
      </c>
      <c r="B2718" t="str">
        <f>T("   Crayons (sauf crayons à gaine), pastels, fusains, craies à écrire ou à dessiner et craies de tailleurs")</f>
        <v xml:space="preserve">   Crayons (sauf crayons à gaine), pastels, fusains, craies à écrire ou à dessiner et craies de tailleurs</v>
      </c>
      <c r="C2718">
        <v>3000000</v>
      </c>
      <c r="D2718">
        <v>11120</v>
      </c>
    </row>
    <row r="2719" spans="1:4" x14ac:dyDescent="0.25">
      <c r="A2719" t="str">
        <f>T("   961000")</f>
        <v xml:space="preserve">   961000</v>
      </c>
      <c r="B2719" t="str">
        <f>T("   Ardoises et tableaux pour l'écriture ou le dessin, même encadrés")</f>
        <v xml:space="preserve">   Ardoises et tableaux pour l'écriture ou le dessin, même encadrés</v>
      </c>
      <c r="C2719">
        <v>685070</v>
      </c>
      <c r="D2719">
        <v>1959</v>
      </c>
    </row>
    <row r="2720" spans="1:4" x14ac:dyDescent="0.25">
      <c r="A2720" t="str">
        <f>T("   961400")</f>
        <v xml:space="preserve">   961400</v>
      </c>
      <c r="B2720" t="str">
        <f>T("   PIPES, Y.C. LES TÊTES DE PIPES, FUME-CIGARE ET FUME-CIGARETTE, ET LEURS PARTIES")</f>
        <v xml:space="preserve">   PIPES, Y.C. LES TÊTES DE PIPES, FUME-CIGARE ET FUME-CIGARETTE, ET LEURS PARTIES</v>
      </c>
      <c r="C2720">
        <v>108541</v>
      </c>
      <c r="D2720">
        <v>25</v>
      </c>
    </row>
    <row r="2721" spans="1:4" x14ac:dyDescent="0.25">
      <c r="A2721" t="str">
        <f>T("   961511")</f>
        <v xml:space="preserve">   961511</v>
      </c>
      <c r="B2721" t="str">
        <f>T("   PEIGNÉS À COIFFER, PEIGNÉS DE COIFFURE, BARRETTES ET ARTICLES SIMIL., EN CAOUTCHOUC DURCI OU EN MATIÈRES PLASTIQUES")</f>
        <v xml:space="preserve">   PEIGNÉS À COIFFER, PEIGNÉS DE COIFFURE, BARRETTES ET ARTICLES SIMIL., EN CAOUTCHOUC DURCI OU EN MATIÈRES PLASTIQUES</v>
      </c>
      <c r="C2721">
        <v>749107</v>
      </c>
      <c r="D2721">
        <v>1724</v>
      </c>
    </row>
    <row r="2722" spans="1:4" x14ac:dyDescent="0.25">
      <c r="A2722" t="str">
        <f>T("   961519")</f>
        <v xml:space="preserve">   961519</v>
      </c>
      <c r="B2722"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2722">
        <v>8671120</v>
      </c>
      <c r="D2722">
        <v>40786</v>
      </c>
    </row>
    <row r="2723" spans="1:4" x14ac:dyDescent="0.25">
      <c r="A2723" t="str">
        <f>T("   961590")</f>
        <v xml:space="preserve">   961590</v>
      </c>
      <c r="B2723" t="str">
        <f>T("   Epingles à cheveux; pince-guiches, ondulateurs, bigoudis et articles pour la coiffure (autres que ceux du n° 8516); parties")</f>
        <v xml:space="preserve">   Epingles à cheveux; pince-guiches, ondulateurs, bigoudis et articles pour la coiffure (autres que ceux du n° 8516); parties</v>
      </c>
      <c r="C2723">
        <v>2690000</v>
      </c>
      <c r="D2723">
        <v>5859</v>
      </c>
    </row>
    <row r="2724" spans="1:4" x14ac:dyDescent="0.25">
      <c r="A2724" t="str">
        <f>T("   961700")</f>
        <v xml:space="preserve">   961700</v>
      </c>
      <c r="B2724"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2724">
        <v>16234902</v>
      </c>
      <c r="D2724">
        <v>37878.199999999997</v>
      </c>
    </row>
    <row r="2725" spans="1:4" x14ac:dyDescent="0.25">
      <c r="A2725" t="str">
        <f>T("   961800")</f>
        <v xml:space="preserve">   961800</v>
      </c>
      <c r="B2725"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2725">
        <v>458109</v>
      </c>
      <c r="D2725">
        <v>730</v>
      </c>
    </row>
    <row r="2726" spans="1:4" x14ac:dyDescent="0.25">
      <c r="A2726" t="str">
        <f>T("   970190")</f>
        <v xml:space="preserve">   970190</v>
      </c>
      <c r="B2726" t="str">
        <f>T("   Collages et tableautins simil.")</f>
        <v xml:space="preserve">   Collages et tableautins simil.</v>
      </c>
      <c r="C2726">
        <v>10001326</v>
      </c>
      <c r="D2726">
        <v>24948</v>
      </c>
    </row>
    <row r="2727" spans="1:4" x14ac:dyDescent="0.25">
      <c r="A2727" t="str">
        <f>T("   970200")</f>
        <v xml:space="preserve">   970200</v>
      </c>
      <c r="B2727" t="str">
        <f>T("   Gravures, estampes et lithographies originales")</f>
        <v xml:space="preserve">   Gravures, estampes et lithographies originales</v>
      </c>
      <c r="C2727">
        <v>603801</v>
      </c>
      <c r="D2727">
        <v>2523</v>
      </c>
    </row>
    <row r="2728" spans="1:4" x14ac:dyDescent="0.25">
      <c r="A2728" t="str">
        <f>T("   970300")</f>
        <v xml:space="preserve">   970300</v>
      </c>
      <c r="B2728" t="str">
        <f>T("   Productions originales de l'art statuaire ou de la sculpture, en toutes matières")</f>
        <v xml:space="preserve">   Productions originales de l'art statuaire ou de la sculpture, en toutes matières</v>
      </c>
      <c r="C2728">
        <v>1055054</v>
      </c>
      <c r="D2728">
        <v>1709</v>
      </c>
    </row>
    <row r="2729" spans="1:4" x14ac:dyDescent="0.25">
      <c r="A2729" t="str">
        <f>T("CO")</f>
        <v>CO</v>
      </c>
      <c r="B2729" t="str">
        <f>T("Colombie")</f>
        <v>Colombie</v>
      </c>
    </row>
    <row r="2730" spans="1:4" x14ac:dyDescent="0.25">
      <c r="A2730" t="str">
        <f>T("   ZZ_Total_Produit_SH6")</f>
        <v xml:space="preserve">   ZZ_Total_Produit_SH6</v>
      </c>
      <c r="B2730" t="str">
        <f>T("   ZZ_Total_Produit_SH6")</f>
        <v xml:space="preserve">   ZZ_Total_Produit_SH6</v>
      </c>
      <c r="C2730">
        <v>59163155</v>
      </c>
      <c r="D2730">
        <v>435039</v>
      </c>
    </row>
    <row r="2731" spans="1:4" x14ac:dyDescent="0.25">
      <c r="A2731" t="str">
        <f>T("   100610")</f>
        <v xml:space="preserve">   100610</v>
      </c>
      <c r="B2731" t="str">
        <f>T("   Riz en paille [riz paddy]")</f>
        <v xml:space="preserve">   Riz en paille [riz paddy]</v>
      </c>
      <c r="C2731">
        <v>4400179</v>
      </c>
      <c r="D2731">
        <v>44000</v>
      </c>
    </row>
    <row r="2732" spans="1:4" x14ac:dyDescent="0.25">
      <c r="A2732" t="str">
        <f>T("   120720")</f>
        <v xml:space="preserve">   120720</v>
      </c>
      <c r="B2732" t="str">
        <f>T("   Graines de coton, même concassées")</f>
        <v xml:space="preserve">   Graines de coton, même concassées</v>
      </c>
      <c r="C2732">
        <v>800000</v>
      </c>
      <c r="D2732">
        <v>1080</v>
      </c>
    </row>
    <row r="2733" spans="1:4" x14ac:dyDescent="0.25">
      <c r="A2733" t="str">
        <f>T("   170490")</f>
        <v xml:space="preserve">   170490</v>
      </c>
      <c r="B2733" t="str">
        <f>T("   Sucreries sans cacao, y.c. le chocolat blanc (à l'excl. des gommes à mâcher)")</f>
        <v xml:space="preserve">   Sucreries sans cacao, y.c. le chocolat blanc (à l'excl. des gommes à mâcher)</v>
      </c>
      <c r="C2733">
        <v>10932685</v>
      </c>
      <c r="D2733">
        <v>45034</v>
      </c>
    </row>
    <row r="2734" spans="1:4" x14ac:dyDescent="0.25">
      <c r="A2734" t="str">
        <f>T("   481840")</f>
        <v xml:space="preserve">   481840</v>
      </c>
      <c r="B273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2734">
        <v>9181321</v>
      </c>
      <c r="D2734">
        <v>17793</v>
      </c>
    </row>
    <row r="2735" spans="1:4" x14ac:dyDescent="0.25">
      <c r="A2735" t="str">
        <f>T("   490199")</f>
        <v xml:space="preserve">   490199</v>
      </c>
      <c r="B273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735">
        <v>1604751</v>
      </c>
      <c r="D2735">
        <v>112</v>
      </c>
    </row>
    <row r="2736" spans="1:4" x14ac:dyDescent="0.25">
      <c r="A2736" t="str">
        <f>T("   690890")</f>
        <v xml:space="preserve">   690890</v>
      </c>
      <c r="B2736" t="s">
        <v>336</v>
      </c>
      <c r="C2736">
        <v>31458219</v>
      </c>
      <c r="D2736">
        <v>324000</v>
      </c>
    </row>
    <row r="2737" spans="1:4" x14ac:dyDescent="0.25">
      <c r="A2737" t="str">
        <f>T("   940429")</f>
        <v xml:space="preserve">   940429</v>
      </c>
      <c r="B2737"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737">
        <v>786000</v>
      </c>
      <c r="D2737">
        <v>3020</v>
      </c>
    </row>
    <row r="2738" spans="1:4" x14ac:dyDescent="0.25">
      <c r="A2738" t="str">
        <f>T("CR")</f>
        <v>CR</v>
      </c>
      <c r="B2738" t="str">
        <f>T("Costa Rica")</f>
        <v>Costa Rica</v>
      </c>
    </row>
    <row r="2739" spans="1:4" x14ac:dyDescent="0.25">
      <c r="A2739" t="str">
        <f>T("   ZZ_Total_Produit_SH6")</f>
        <v xml:space="preserve">   ZZ_Total_Produit_SH6</v>
      </c>
      <c r="B2739" t="str">
        <f>T("   ZZ_Total_Produit_SH6")</f>
        <v xml:space="preserve">   ZZ_Total_Produit_SH6</v>
      </c>
      <c r="C2739">
        <v>2493000</v>
      </c>
      <c r="D2739">
        <v>168</v>
      </c>
    </row>
    <row r="2740" spans="1:4" x14ac:dyDescent="0.25">
      <c r="A2740" t="str">
        <f>T("   490199")</f>
        <v xml:space="preserve">   490199</v>
      </c>
      <c r="B274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740">
        <v>2493000</v>
      </c>
      <c r="D2740">
        <v>168</v>
      </c>
    </row>
    <row r="2741" spans="1:4" x14ac:dyDescent="0.25">
      <c r="A2741" t="str">
        <f>T("CU")</f>
        <v>CU</v>
      </c>
      <c r="B2741" t="str">
        <f>T("Cuba")</f>
        <v>Cuba</v>
      </c>
    </row>
    <row r="2742" spans="1:4" x14ac:dyDescent="0.25">
      <c r="A2742" t="str">
        <f>T("   ZZ_Total_Produit_SH6")</f>
        <v xml:space="preserve">   ZZ_Total_Produit_SH6</v>
      </c>
      <c r="B2742" t="str">
        <f>T("   ZZ_Total_Produit_SH6")</f>
        <v xml:space="preserve">   ZZ_Total_Produit_SH6</v>
      </c>
      <c r="C2742">
        <v>14039952</v>
      </c>
      <c r="D2742">
        <v>33200</v>
      </c>
    </row>
    <row r="2743" spans="1:4" x14ac:dyDescent="0.25">
      <c r="A2743" t="str">
        <f>T("   252329")</f>
        <v xml:space="preserve">   252329</v>
      </c>
      <c r="B2743" t="str">
        <f>T("   Ciment Portland normal ou modéré (à l'excl. des ciments Portland blancs, même colorés artificiellement)")</f>
        <v xml:space="preserve">   Ciment Portland normal ou modéré (à l'excl. des ciments Portland blancs, même colorés artificiellement)</v>
      </c>
      <c r="C2743">
        <v>200000</v>
      </c>
      <c r="D2743">
        <v>2000</v>
      </c>
    </row>
    <row r="2744" spans="1:4" x14ac:dyDescent="0.25">
      <c r="A2744" t="str">
        <f>T("   490199")</f>
        <v xml:space="preserve">   490199</v>
      </c>
      <c r="B274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744">
        <v>750000</v>
      </c>
      <c r="D2744">
        <v>1000</v>
      </c>
    </row>
    <row r="2745" spans="1:4" x14ac:dyDescent="0.25">
      <c r="A2745" t="str">
        <f>T("   620590")</f>
        <v xml:space="preserve">   620590</v>
      </c>
      <c r="B274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745">
        <v>1500000</v>
      </c>
      <c r="D2745">
        <v>4000</v>
      </c>
    </row>
    <row r="2746" spans="1:4" x14ac:dyDescent="0.25">
      <c r="A2746" t="str">
        <f>T("   630900")</f>
        <v xml:space="preserve">   630900</v>
      </c>
      <c r="B2746" t="s">
        <v>300</v>
      </c>
      <c r="C2746">
        <v>327980</v>
      </c>
      <c r="D2746">
        <v>7700</v>
      </c>
    </row>
    <row r="2747" spans="1:4" x14ac:dyDescent="0.25">
      <c r="A2747" t="str">
        <f>T("   732394")</f>
        <v xml:space="preserve">   732394</v>
      </c>
      <c r="B2747" t="s">
        <v>389</v>
      </c>
      <c r="C2747">
        <v>500000</v>
      </c>
      <c r="D2747">
        <v>1500</v>
      </c>
    </row>
    <row r="2748" spans="1:4" x14ac:dyDescent="0.25">
      <c r="A2748" t="str">
        <f>T("   870322")</f>
        <v xml:space="preserve">   870322</v>
      </c>
      <c r="B2748" t="s">
        <v>506</v>
      </c>
      <c r="C2748">
        <v>1492102</v>
      </c>
      <c r="D2748">
        <v>1500</v>
      </c>
    </row>
    <row r="2749" spans="1:4" x14ac:dyDescent="0.25">
      <c r="A2749" t="str">
        <f>T("   870323")</f>
        <v xml:space="preserve">   870323</v>
      </c>
      <c r="B2749" t="s">
        <v>507</v>
      </c>
      <c r="C2749">
        <v>4513910</v>
      </c>
      <c r="D2749">
        <v>3750</v>
      </c>
    </row>
    <row r="2750" spans="1:4" x14ac:dyDescent="0.25">
      <c r="A2750" t="str">
        <f>T("   870421")</f>
        <v xml:space="preserve">   870421</v>
      </c>
      <c r="B2750" t="s">
        <v>512</v>
      </c>
      <c r="C2750">
        <v>1255960</v>
      </c>
      <c r="D2750">
        <v>1250</v>
      </c>
    </row>
    <row r="2751" spans="1:4" x14ac:dyDescent="0.25">
      <c r="A2751" t="str">
        <f>T("   940350")</f>
        <v xml:space="preserve">   940350</v>
      </c>
      <c r="B2751" t="str">
        <f>T("   Meubles pour chambres à coucher, en bois (sauf sièges)")</f>
        <v xml:space="preserve">   Meubles pour chambres à coucher, en bois (sauf sièges)</v>
      </c>
      <c r="C2751">
        <v>3500000</v>
      </c>
      <c r="D2751">
        <v>10500</v>
      </c>
    </row>
    <row r="2752" spans="1:4" x14ac:dyDescent="0.25">
      <c r="A2752" t="str">
        <f>T("CY")</f>
        <v>CY</v>
      </c>
      <c r="B2752" t="str">
        <f>T("Chypre")</f>
        <v>Chypre</v>
      </c>
    </row>
    <row r="2753" spans="1:4" x14ac:dyDescent="0.25">
      <c r="A2753" t="str">
        <f>T("   ZZ_Total_Produit_SH6")</f>
        <v xml:space="preserve">   ZZ_Total_Produit_SH6</v>
      </c>
      <c r="B2753" t="str">
        <f>T("   ZZ_Total_Produit_SH6")</f>
        <v xml:space="preserve">   ZZ_Total_Produit_SH6</v>
      </c>
      <c r="C2753">
        <v>241870378.979</v>
      </c>
      <c r="D2753">
        <v>622032</v>
      </c>
    </row>
    <row r="2754" spans="1:4" x14ac:dyDescent="0.25">
      <c r="A2754" t="str">
        <f>T("   020714")</f>
        <v xml:space="preserve">   020714</v>
      </c>
      <c r="B2754" t="str">
        <f>T("   Morceaux et abats comestibles de coqs et de poules [des espèces domestiques], congelés")</f>
        <v xml:space="preserve">   Morceaux et abats comestibles de coqs et de poules [des espèces domestiques], congelés</v>
      </c>
      <c r="C2754">
        <v>62250604</v>
      </c>
      <c r="D2754">
        <v>104250</v>
      </c>
    </row>
    <row r="2755" spans="1:4" x14ac:dyDescent="0.25">
      <c r="A2755" t="str">
        <f>T("   030339")</f>
        <v xml:space="preserve">   030339</v>
      </c>
      <c r="B2755"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2755">
        <v>12150000</v>
      </c>
      <c r="D2755">
        <v>54000</v>
      </c>
    </row>
    <row r="2756" spans="1:4" x14ac:dyDescent="0.25">
      <c r="A2756" t="str">
        <f>T("   030379")</f>
        <v xml:space="preserve">   030379</v>
      </c>
      <c r="B2756" t="s">
        <v>16</v>
      </c>
      <c r="C2756">
        <v>38110500</v>
      </c>
      <c r="D2756">
        <v>169380</v>
      </c>
    </row>
    <row r="2757" spans="1:4" x14ac:dyDescent="0.25">
      <c r="A2757" t="str">
        <f>T("   100630")</f>
        <v xml:space="preserve">   100630</v>
      </c>
      <c r="B2757" t="str">
        <f>T("   Riz semi-blanchi ou blanchi, même poli ou glacé")</f>
        <v xml:space="preserve">   Riz semi-blanchi ou blanchi, même poli ou glacé</v>
      </c>
      <c r="C2757">
        <v>14384922.833000001</v>
      </c>
      <c r="D2757">
        <v>52000</v>
      </c>
    </row>
    <row r="2758" spans="1:4" x14ac:dyDescent="0.25">
      <c r="A2758" t="str">
        <f>T("   170191")</f>
        <v xml:space="preserve">   170191</v>
      </c>
      <c r="B2758" t="str">
        <f>T("   Sucres de canne ou de betterave, à l'état solide, additionnés d'aromatisants ou de colorants")</f>
        <v xml:space="preserve">   Sucres de canne ou de betterave, à l'état solide, additionnés d'aromatisants ou de colorants</v>
      </c>
      <c r="C2758">
        <v>5601534.1469999999</v>
      </c>
      <c r="D2758">
        <v>25000</v>
      </c>
    </row>
    <row r="2759" spans="1:4" x14ac:dyDescent="0.25">
      <c r="A2759" t="str">
        <f>T("   271019")</f>
        <v xml:space="preserve">   271019</v>
      </c>
      <c r="B2759" t="str">
        <f>T("   Huiles moyennes et préparations, de pétrole ou de minéraux bitumineux, n.d.a.")</f>
        <v xml:space="preserve">   Huiles moyennes et préparations, de pétrole ou de minéraux bitumineux, n.d.a.</v>
      </c>
      <c r="C2759">
        <v>8710691</v>
      </c>
      <c r="D2759">
        <v>19800</v>
      </c>
    </row>
    <row r="2760" spans="1:4" x14ac:dyDescent="0.25">
      <c r="A2760" t="str">
        <f>T("   271320")</f>
        <v xml:space="preserve">   271320</v>
      </c>
      <c r="B2760" t="str">
        <f>T("   Bitume de pétrole")</f>
        <v xml:space="preserve">   Bitume de pétrole</v>
      </c>
      <c r="C2760">
        <v>4834570</v>
      </c>
      <c r="D2760">
        <v>20020</v>
      </c>
    </row>
    <row r="2761" spans="1:4" x14ac:dyDescent="0.25">
      <c r="A2761" t="str">
        <f>T("   420299")</f>
        <v xml:space="preserve">   420299</v>
      </c>
      <c r="B2761" t="s">
        <v>174</v>
      </c>
      <c r="C2761">
        <v>8714176</v>
      </c>
      <c r="D2761">
        <v>52354</v>
      </c>
    </row>
    <row r="2762" spans="1:4" x14ac:dyDescent="0.25">
      <c r="A2762" t="str">
        <f>T("   640590")</f>
        <v xml:space="preserve">   640590</v>
      </c>
      <c r="B2762" t="s">
        <v>311</v>
      </c>
      <c r="C2762">
        <v>6267042</v>
      </c>
      <c r="D2762">
        <v>18000</v>
      </c>
    </row>
    <row r="2763" spans="1:4" x14ac:dyDescent="0.25">
      <c r="A2763" t="str">
        <f>T("   700529")</f>
        <v xml:space="preserve">   700529</v>
      </c>
      <c r="B2763" t="s">
        <v>343</v>
      </c>
      <c r="C2763">
        <v>5186386</v>
      </c>
      <c r="D2763">
        <v>53869</v>
      </c>
    </row>
    <row r="2764" spans="1:4" x14ac:dyDescent="0.25">
      <c r="A2764" t="str">
        <f>T("   841829")</f>
        <v xml:space="preserve">   841829</v>
      </c>
      <c r="B2764" t="str">
        <f>T("   Réfrigérateurs ménagers à absorption, non-électriques")</f>
        <v xml:space="preserve">   Réfrigérateurs ménagers à absorption, non-électriques</v>
      </c>
      <c r="C2764">
        <v>3276898</v>
      </c>
      <c r="D2764">
        <v>5419</v>
      </c>
    </row>
    <row r="2765" spans="1:4" x14ac:dyDescent="0.25">
      <c r="A2765" t="str">
        <f>T("   871120")</f>
        <v xml:space="preserve">   871120</v>
      </c>
      <c r="B2765" t="str">
        <f>T("   Motocycles à moteur à piston alternatif, cylindrée &gt; 50 cm³ mais &lt;= 250 cm³")</f>
        <v xml:space="preserve">   Motocycles à moteur à piston alternatif, cylindrée &gt; 50 cm³ mais &lt;= 250 cm³</v>
      </c>
      <c r="C2765">
        <v>66960000</v>
      </c>
      <c r="D2765">
        <v>39255</v>
      </c>
    </row>
    <row r="2766" spans="1:4" x14ac:dyDescent="0.25">
      <c r="A2766" t="str">
        <f>T("   871200")</f>
        <v xml:space="preserve">   871200</v>
      </c>
      <c r="B2766" t="str">
        <f>T("   BICYCLETTES ET AUTRES CYCLES, -Y.C. LES TRIPORTEURS-, SANS MOTEUR")</f>
        <v xml:space="preserve">   BICYCLETTES ET AUTRES CYCLES, -Y.C. LES TRIPORTEURS-, SANS MOTEUR</v>
      </c>
      <c r="C2766">
        <v>2150000</v>
      </c>
      <c r="D2766">
        <v>3000</v>
      </c>
    </row>
    <row r="2767" spans="1:4" x14ac:dyDescent="0.25">
      <c r="A2767" t="str">
        <f>T("   940320")</f>
        <v xml:space="preserve">   940320</v>
      </c>
      <c r="B276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767">
        <v>1558055</v>
      </c>
      <c r="D2767">
        <v>3000</v>
      </c>
    </row>
    <row r="2768" spans="1:4" x14ac:dyDescent="0.25">
      <c r="A2768" t="str">
        <f>T("   950490")</f>
        <v xml:space="preserve">   950490</v>
      </c>
      <c r="B2768" t="s">
        <v>539</v>
      </c>
      <c r="C2768">
        <v>1030000</v>
      </c>
      <c r="D2768">
        <v>2000</v>
      </c>
    </row>
    <row r="2769" spans="1:4" x14ac:dyDescent="0.25">
      <c r="A2769" t="str">
        <f>T("   950662")</f>
        <v xml:space="preserve">   950662</v>
      </c>
      <c r="B2769" t="str">
        <f>T("   Ballons et balles gonflables")</f>
        <v xml:space="preserve">   Ballons et balles gonflables</v>
      </c>
      <c r="C2769">
        <v>685000</v>
      </c>
      <c r="D2769">
        <v>685</v>
      </c>
    </row>
    <row r="2770" spans="1:4" x14ac:dyDescent="0.25">
      <c r="A2770" t="str">
        <f>T("CZ")</f>
        <v>CZ</v>
      </c>
      <c r="B2770" t="str">
        <f>T("Tchèque, République")</f>
        <v>Tchèque, République</v>
      </c>
    </row>
    <row r="2771" spans="1:4" x14ac:dyDescent="0.25">
      <c r="A2771" t="str">
        <f>T("   ZZ_Total_Produit_SH6")</f>
        <v xml:space="preserve">   ZZ_Total_Produit_SH6</v>
      </c>
      <c r="B2771" t="str">
        <f>T("   ZZ_Total_Produit_SH6")</f>
        <v xml:space="preserve">   ZZ_Total_Produit_SH6</v>
      </c>
      <c r="C2771">
        <v>3629870619.5560002</v>
      </c>
      <c r="D2771">
        <v>5764438.5800000001</v>
      </c>
    </row>
    <row r="2772" spans="1:4" x14ac:dyDescent="0.25">
      <c r="A2772" t="str">
        <f>T("   020712")</f>
        <v xml:space="preserve">   020712</v>
      </c>
      <c r="B2772" t="str">
        <f>T("   COQS ET POULES [DES ESPÈCES DOMESTIQUES], NON-DÉCOUPÉS EN MORCEAUX, CONGELÉS")</f>
        <v xml:space="preserve">   COQS ET POULES [DES ESPÈCES DOMESTIQUES], NON-DÉCOUPÉS EN MORCEAUX, CONGELÉS</v>
      </c>
      <c r="C2772">
        <v>986522672</v>
      </c>
      <c r="D2772">
        <v>1584140</v>
      </c>
    </row>
    <row r="2773" spans="1:4" x14ac:dyDescent="0.25">
      <c r="A2773" t="str">
        <f>T("   020714")</f>
        <v xml:space="preserve">   020714</v>
      </c>
      <c r="B2773" t="str">
        <f>T("   Morceaux et abats comestibles de coqs et de poules [des espèces domestiques], congelés")</f>
        <v xml:space="preserve">   Morceaux et abats comestibles de coqs et de poules [des espèces domestiques], congelés</v>
      </c>
      <c r="C2773">
        <v>889231203</v>
      </c>
      <c r="D2773">
        <v>1475562.58</v>
      </c>
    </row>
    <row r="2774" spans="1:4" x14ac:dyDescent="0.25">
      <c r="A2774" t="str">
        <f>T("   020727")</f>
        <v xml:space="preserve">   020727</v>
      </c>
      <c r="B2774" t="str">
        <f>T("   Morceaux et abats comestibles de dindes et dindons [des espèces domestiques], congelés")</f>
        <v xml:space="preserve">   Morceaux et abats comestibles de dindes et dindons [des espèces domestiques], congelés</v>
      </c>
      <c r="C2774">
        <v>1487477078</v>
      </c>
      <c r="D2774">
        <v>2401720</v>
      </c>
    </row>
    <row r="2775" spans="1:4" x14ac:dyDescent="0.25">
      <c r="A2775" t="str">
        <f>T("   030379")</f>
        <v xml:space="preserve">   030379</v>
      </c>
      <c r="B2775" t="s">
        <v>16</v>
      </c>
      <c r="C2775">
        <v>6300004</v>
      </c>
      <c r="D2775">
        <v>28000</v>
      </c>
    </row>
    <row r="2776" spans="1:4" x14ac:dyDescent="0.25">
      <c r="A2776" t="str">
        <f>T("   050400")</f>
        <v xml:space="preserve">   050400</v>
      </c>
      <c r="B277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2776">
        <v>97584940</v>
      </c>
      <c r="D2776">
        <v>81310</v>
      </c>
    </row>
    <row r="2777" spans="1:4" x14ac:dyDescent="0.25">
      <c r="A2777" t="str">
        <f>T("   110100")</f>
        <v xml:space="preserve">   110100</v>
      </c>
      <c r="B2777" t="str">
        <f>T("   Farines de froment [blé] ou de méteil")</f>
        <v xml:space="preserve">   Farines de froment [blé] ou de méteil</v>
      </c>
      <c r="C2777">
        <v>6135721.5559999999</v>
      </c>
      <c r="D2777">
        <v>23000</v>
      </c>
    </row>
    <row r="2778" spans="1:4" x14ac:dyDescent="0.25">
      <c r="A2778" t="str">
        <f>T("   160100")</f>
        <v xml:space="preserve">   160100</v>
      </c>
      <c r="B2778" t="str">
        <f>T("   Saucisses, saucissons et produits simil., de viande, d'abats ou de sang; préparations alimentaires à base de ces produits")</f>
        <v xml:space="preserve">   Saucisses, saucissons et produits simil., de viande, d'abats ou de sang; préparations alimentaires à base de ces produits</v>
      </c>
      <c r="C2778">
        <v>1498501</v>
      </c>
      <c r="D2778">
        <v>1998</v>
      </c>
    </row>
    <row r="2779" spans="1:4" x14ac:dyDescent="0.25">
      <c r="A2779" t="str">
        <f>T("   401220")</f>
        <v xml:space="preserve">   401220</v>
      </c>
      <c r="B2779" t="str">
        <f>T("   Pneumatiques usagés, en caoutchouc")</f>
        <v xml:space="preserve">   Pneumatiques usagés, en caoutchouc</v>
      </c>
      <c r="C2779">
        <v>3600564</v>
      </c>
      <c r="D2779">
        <v>16000</v>
      </c>
    </row>
    <row r="2780" spans="1:4" x14ac:dyDescent="0.25">
      <c r="A2780" t="str">
        <f>T("   401310")</f>
        <v xml:space="preserve">   401310</v>
      </c>
      <c r="B2780"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2780">
        <v>320108</v>
      </c>
      <c r="D2780">
        <v>2000</v>
      </c>
    </row>
    <row r="2781" spans="1:4" x14ac:dyDescent="0.25">
      <c r="A2781" t="str">
        <f>T("   520859")</f>
        <v xml:space="preserve">   520859</v>
      </c>
      <c r="B2781" t="str">
        <f>T("   TISSUS DE COTON, IMPRIMÉS, CONTENANT &gt;= 85% EN POIDS DE COTON, D'UN POIDS &lt;= 200 G/M² (À L'EXCL. DES TISSUS À ARMURE TOILE)")</f>
        <v xml:space="preserve">   TISSUS DE COTON, IMPRIMÉS, CONTENANT &gt;= 85% EN POIDS DE COTON, D'UN POIDS &lt;= 200 G/M² (À L'EXCL. DES TISSUS À ARMURE TOILE)</v>
      </c>
      <c r="C2781">
        <v>16814499</v>
      </c>
      <c r="D2781">
        <v>10538</v>
      </c>
    </row>
    <row r="2782" spans="1:4" x14ac:dyDescent="0.25">
      <c r="A2782" t="str">
        <f>T("   521159")</f>
        <v xml:space="preserve">   521159</v>
      </c>
      <c r="B2782" t="s">
        <v>242</v>
      </c>
      <c r="C2782">
        <v>186010</v>
      </c>
      <c r="D2782">
        <v>82</v>
      </c>
    </row>
    <row r="2783" spans="1:4" x14ac:dyDescent="0.25">
      <c r="A2783" t="str">
        <f>T("   551319")</f>
        <v xml:space="preserve">   551319</v>
      </c>
      <c r="B2783" t="s">
        <v>250</v>
      </c>
      <c r="C2783">
        <v>2005585</v>
      </c>
      <c r="D2783">
        <v>1800</v>
      </c>
    </row>
    <row r="2784" spans="1:4" x14ac:dyDescent="0.25">
      <c r="A2784" t="str">
        <f>T("   630900")</f>
        <v xml:space="preserve">   630900</v>
      </c>
      <c r="B2784" t="s">
        <v>300</v>
      </c>
      <c r="C2784">
        <v>70952373</v>
      </c>
      <c r="D2784">
        <v>129997</v>
      </c>
    </row>
    <row r="2785" spans="1:4" x14ac:dyDescent="0.25">
      <c r="A2785" t="str">
        <f>T("   732399")</f>
        <v xml:space="preserve">   732399</v>
      </c>
      <c r="B2785" t="s">
        <v>390</v>
      </c>
      <c r="C2785">
        <v>2806400</v>
      </c>
      <c r="D2785">
        <v>3855</v>
      </c>
    </row>
    <row r="2786" spans="1:4" x14ac:dyDescent="0.25">
      <c r="A2786" t="str">
        <f>T("   851770")</f>
        <v xml:space="preserve">   851770</v>
      </c>
      <c r="B2786"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2786">
        <v>18248151</v>
      </c>
      <c r="D2786">
        <v>203</v>
      </c>
    </row>
    <row r="2787" spans="1:4" x14ac:dyDescent="0.25">
      <c r="A2787" t="str">
        <f>T("   853710")</f>
        <v xml:space="preserve">   853710</v>
      </c>
      <c r="B278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787">
        <v>1066607</v>
      </c>
      <c r="D2787">
        <v>48</v>
      </c>
    </row>
    <row r="2788" spans="1:4" x14ac:dyDescent="0.25">
      <c r="A2788" t="str">
        <f>T("   854239")</f>
        <v xml:space="preserve">   854239</v>
      </c>
      <c r="B2788" t="str">
        <f>T("   CIRCUITS INTÉGRÉS ÉLECTRONIQUES (À L'EXCL. DE CEUX UTILISÉS COMME PROCESSEURS, CONTRÔLEURS, MÉMOIRES ET AMPLIFICATEURS)")</f>
        <v xml:space="preserve">   CIRCUITS INTÉGRÉS ÉLECTRONIQUES (À L'EXCL. DE CEUX UTILISÉS COMME PROCESSEURS, CONTRÔLEURS, MÉMOIRES ET AMPLIFICATEURS)</v>
      </c>
      <c r="C2788">
        <v>8118450</v>
      </c>
      <c r="D2788">
        <v>205</v>
      </c>
    </row>
    <row r="2789" spans="1:4" x14ac:dyDescent="0.25">
      <c r="A2789" t="str">
        <f>T("   854420")</f>
        <v xml:space="preserve">   854420</v>
      </c>
      <c r="B2789" t="str">
        <f>T("   Câbles coaxiaux et autres conducteurs électriques coaxiaux, isolés")</f>
        <v xml:space="preserve">   Câbles coaxiaux et autres conducteurs électriques coaxiaux, isolés</v>
      </c>
      <c r="C2789">
        <v>26551004</v>
      </c>
      <c r="D2789">
        <v>760</v>
      </c>
    </row>
    <row r="2790" spans="1:4" x14ac:dyDescent="0.25">
      <c r="A2790" t="str">
        <f>T("   870323")</f>
        <v xml:space="preserve">   870323</v>
      </c>
      <c r="B2790" t="s">
        <v>507</v>
      </c>
      <c r="C2790">
        <v>4450749</v>
      </c>
      <c r="D2790">
        <v>3220</v>
      </c>
    </row>
    <row r="2791" spans="1:4" x14ac:dyDescent="0.25">
      <c r="A2791" t="str">
        <f>T("DE")</f>
        <v>DE</v>
      </c>
      <c r="B2791" t="str">
        <f>T("Allemagne")</f>
        <v>Allemagne</v>
      </c>
    </row>
    <row r="2792" spans="1:4" x14ac:dyDescent="0.25">
      <c r="A2792" t="str">
        <f>T("   ZZ_Total_Produit_SH6")</f>
        <v xml:space="preserve">   ZZ_Total_Produit_SH6</v>
      </c>
      <c r="B2792" t="str">
        <f>T("   ZZ_Total_Produit_SH6")</f>
        <v xml:space="preserve">   ZZ_Total_Produit_SH6</v>
      </c>
      <c r="C2792">
        <v>19383413664.909</v>
      </c>
      <c r="D2792">
        <v>30597828.359999999</v>
      </c>
    </row>
    <row r="2793" spans="1:4" x14ac:dyDescent="0.25">
      <c r="A2793" t="str">
        <f>T("   020230")</f>
        <v xml:space="preserve">   020230</v>
      </c>
      <c r="B2793" t="str">
        <f>T("   Viandes désossées de bovins, congelées")</f>
        <v xml:space="preserve">   Viandes désossées de bovins, congelées</v>
      </c>
      <c r="C2793">
        <v>15550188</v>
      </c>
      <c r="D2793">
        <v>26136</v>
      </c>
    </row>
    <row r="2794" spans="1:4" x14ac:dyDescent="0.25">
      <c r="A2794" t="str">
        <f>T("   020711")</f>
        <v xml:space="preserve">   020711</v>
      </c>
      <c r="B2794" t="str">
        <f>T("   COQS ET POULES [DES ESPÈCES DOMESTIQUES], NON-DÉCOUPÉS EN MORCEAUX, FRAIS OU RÉFRIGÉRÉS")</f>
        <v xml:space="preserve">   COQS ET POULES [DES ESPÈCES DOMESTIQUES], NON-DÉCOUPÉS EN MORCEAUX, FRAIS OU RÉFRIGÉRÉS</v>
      </c>
      <c r="C2794">
        <v>15550000</v>
      </c>
      <c r="D2794">
        <v>25000</v>
      </c>
    </row>
    <row r="2795" spans="1:4" x14ac:dyDescent="0.25">
      <c r="A2795" t="str">
        <f>T("   020712")</f>
        <v xml:space="preserve">   020712</v>
      </c>
      <c r="B2795" t="str">
        <f>T("   COQS ET POULES [DES ESPÈCES DOMESTIQUES], NON-DÉCOUPÉS EN MORCEAUX, CONGELÉS")</f>
        <v xml:space="preserve">   COQS ET POULES [DES ESPÈCES DOMESTIQUES], NON-DÉCOUPÉS EN MORCEAUX, CONGELÉS</v>
      </c>
      <c r="C2795">
        <v>136987968</v>
      </c>
      <c r="D2795">
        <v>221366</v>
      </c>
    </row>
    <row r="2796" spans="1:4" x14ac:dyDescent="0.25">
      <c r="A2796" t="str">
        <f>T("   020713")</f>
        <v xml:space="preserve">   020713</v>
      </c>
      <c r="B2796" t="str">
        <f>T("   Morceaux et abats comestibles de coqs et de poules [des espèces domestiques], frais ou réfrigérés")</f>
        <v xml:space="preserve">   Morceaux et abats comestibles de coqs et de poules [des espèces domestiques], frais ou réfrigérés</v>
      </c>
      <c r="C2796">
        <v>15550188</v>
      </c>
      <c r="D2796">
        <v>25000</v>
      </c>
    </row>
    <row r="2797" spans="1:4" x14ac:dyDescent="0.25">
      <c r="A2797" t="str">
        <f>T("   020714")</f>
        <v xml:space="preserve">   020714</v>
      </c>
      <c r="B2797" t="str">
        <f>T("   Morceaux et abats comestibles de coqs et de poules [des espèces domestiques], congelés")</f>
        <v xml:space="preserve">   Morceaux et abats comestibles de coqs et de poules [des espèces domestiques], congelés</v>
      </c>
      <c r="C2797">
        <v>254400688</v>
      </c>
      <c r="D2797">
        <v>412000</v>
      </c>
    </row>
    <row r="2798" spans="1:4" x14ac:dyDescent="0.25">
      <c r="A2798" t="str">
        <f>T("   020725")</f>
        <v xml:space="preserve">   020725</v>
      </c>
      <c r="B2798" t="str">
        <f>T("   DINDES ET DINDONS [DES ESPÈCES DOMESTIQUES], NON-DÉCOUPÉS EN MORCEAUX, CONGELÉS")</f>
        <v xml:space="preserve">   DINDES ET DINDONS [DES ESPÈCES DOMESTIQUES], NON-DÉCOUPÉS EN MORCEAUX, CONGELÉS</v>
      </c>
      <c r="C2798">
        <v>15550188</v>
      </c>
      <c r="D2798">
        <v>26600</v>
      </c>
    </row>
    <row r="2799" spans="1:4" x14ac:dyDescent="0.25">
      <c r="A2799" t="str">
        <f>T("   020727")</f>
        <v xml:space="preserve">   020727</v>
      </c>
      <c r="B2799" t="str">
        <f>T("   Morceaux et abats comestibles de dindes et dindons [des espèces domestiques], congelés")</f>
        <v xml:space="preserve">   Morceaux et abats comestibles de dindes et dindons [des espèces domestiques], congelés</v>
      </c>
      <c r="C2799">
        <v>1897041547</v>
      </c>
      <c r="D2799">
        <v>3068561.25</v>
      </c>
    </row>
    <row r="2800" spans="1:4" x14ac:dyDescent="0.25">
      <c r="A2800" t="str">
        <f>T("   030269")</f>
        <v xml:space="preserve">   030269</v>
      </c>
      <c r="B2800" t="s">
        <v>15</v>
      </c>
      <c r="C2800">
        <v>6257250</v>
      </c>
      <c r="D2800">
        <v>27810</v>
      </c>
    </row>
    <row r="2801" spans="1:4" x14ac:dyDescent="0.25">
      <c r="A2801" t="str">
        <f>T("   030379")</f>
        <v xml:space="preserve">   030379</v>
      </c>
      <c r="B2801" t="s">
        <v>16</v>
      </c>
      <c r="C2801">
        <v>75042418</v>
      </c>
      <c r="D2801">
        <v>333500</v>
      </c>
    </row>
    <row r="2802" spans="1:4" x14ac:dyDescent="0.25">
      <c r="A2802" t="str">
        <f>T("   040120")</f>
        <v xml:space="preserve">   040120</v>
      </c>
      <c r="B2802"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2802">
        <v>49315729</v>
      </c>
      <c r="D2802">
        <v>84051</v>
      </c>
    </row>
    <row r="2803" spans="1:4" x14ac:dyDescent="0.25">
      <c r="A2803" t="str">
        <f>T("   040210")</f>
        <v xml:space="preserve">   040210</v>
      </c>
      <c r="B2803"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2803">
        <v>46647232</v>
      </c>
      <c r="D2803">
        <v>53600</v>
      </c>
    </row>
    <row r="2804" spans="1:4" x14ac:dyDescent="0.25">
      <c r="A2804" t="str">
        <f>T("   040291")</f>
        <v xml:space="preserve">   040291</v>
      </c>
      <c r="B2804"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2804">
        <v>44257113</v>
      </c>
      <c r="D2804">
        <v>61361</v>
      </c>
    </row>
    <row r="2805" spans="1:4" x14ac:dyDescent="0.25">
      <c r="A2805" t="str">
        <f>T("   040390")</f>
        <v xml:space="preserve">   040390</v>
      </c>
      <c r="B2805"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2805">
        <v>8738500</v>
      </c>
      <c r="D2805">
        <v>24000</v>
      </c>
    </row>
    <row r="2806" spans="1:4" x14ac:dyDescent="0.25">
      <c r="A2806" t="str">
        <f>T("   050400")</f>
        <v xml:space="preserve">   050400</v>
      </c>
      <c r="B280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2806">
        <v>571951766</v>
      </c>
      <c r="D2806">
        <v>476621.75</v>
      </c>
    </row>
    <row r="2807" spans="1:4" x14ac:dyDescent="0.25">
      <c r="A2807" t="str">
        <f>T("   080810")</f>
        <v xml:space="preserve">   080810</v>
      </c>
      <c r="B2807" t="str">
        <f>T("   Pommes, fraîches")</f>
        <v xml:space="preserve">   Pommes, fraîches</v>
      </c>
      <c r="C2807">
        <v>24000920</v>
      </c>
      <c r="D2807">
        <v>63280</v>
      </c>
    </row>
    <row r="2808" spans="1:4" x14ac:dyDescent="0.25">
      <c r="A2808" t="str">
        <f>T("   110710")</f>
        <v xml:space="preserve">   110710</v>
      </c>
      <c r="B2808" t="str">
        <f>T("   MALT, NON-TORRÉFIÉ")</f>
        <v xml:space="preserve">   MALT, NON-TORRÉFIÉ</v>
      </c>
      <c r="C2808">
        <v>256565629</v>
      </c>
      <c r="D2808">
        <v>597380</v>
      </c>
    </row>
    <row r="2809" spans="1:4" x14ac:dyDescent="0.25">
      <c r="A2809" t="str">
        <f>T("   151110")</f>
        <v xml:space="preserve">   151110</v>
      </c>
      <c r="B2809" t="str">
        <f>T("   Huile de palme, brute")</f>
        <v xml:space="preserve">   Huile de palme, brute</v>
      </c>
      <c r="C2809">
        <v>115500000</v>
      </c>
      <c r="D2809">
        <v>462000</v>
      </c>
    </row>
    <row r="2810" spans="1:4" x14ac:dyDescent="0.25">
      <c r="A2810" t="str">
        <f>T("   151190")</f>
        <v xml:space="preserve">   151190</v>
      </c>
      <c r="B2810" t="str">
        <f>T("   Huile de palme et ses fractions, même raffinées, mais non chimiquement modifiées (à l'excl. de l'huile de palme brute)")</f>
        <v xml:space="preserve">   Huile de palme et ses fractions, même raffinées, mais non chimiquement modifiées (à l'excl. de l'huile de palme brute)</v>
      </c>
      <c r="C2810">
        <v>379717159.329</v>
      </c>
      <c r="D2810">
        <v>1015004</v>
      </c>
    </row>
    <row r="2811" spans="1:4" x14ac:dyDescent="0.25">
      <c r="A2811" t="str">
        <f>T("   151620")</f>
        <v xml:space="preserve">   151620</v>
      </c>
      <c r="B281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2811">
        <v>341000130</v>
      </c>
      <c r="D2811">
        <v>1364000</v>
      </c>
    </row>
    <row r="2812" spans="1:4" x14ac:dyDescent="0.25">
      <c r="A2812" t="str">
        <f>T("   160100")</f>
        <v xml:space="preserve">   160100</v>
      </c>
      <c r="B2812" t="str">
        <f>T("   Saucisses, saucissons et produits simil., de viande, d'abats ou de sang; préparations alimentaires à base de ces produits")</f>
        <v xml:space="preserve">   Saucisses, saucissons et produits simil., de viande, d'abats ou de sang; préparations alimentaires à base de ces produits</v>
      </c>
      <c r="C2812">
        <v>18760456</v>
      </c>
      <c r="D2812">
        <v>25000</v>
      </c>
    </row>
    <row r="2813" spans="1:4" x14ac:dyDescent="0.25">
      <c r="A2813" t="str">
        <f>T("   170199")</f>
        <v xml:space="preserve">   170199</v>
      </c>
      <c r="B281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2813">
        <v>117530877.58</v>
      </c>
      <c r="D2813">
        <v>506000</v>
      </c>
    </row>
    <row r="2814" spans="1:4" x14ac:dyDescent="0.25">
      <c r="A2814" t="str">
        <f>T("   170490")</f>
        <v xml:space="preserve">   170490</v>
      </c>
      <c r="B2814" t="str">
        <f>T("   Sucreries sans cacao, y.c. le chocolat blanc (à l'excl. des gommes à mâcher)")</f>
        <v xml:space="preserve">   Sucreries sans cacao, y.c. le chocolat blanc (à l'excl. des gommes à mâcher)</v>
      </c>
      <c r="C2814">
        <v>6018433</v>
      </c>
      <c r="D2814">
        <v>28290</v>
      </c>
    </row>
    <row r="2815" spans="1:4" x14ac:dyDescent="0.25">
      <c r="A2815" t="str">
        <f>T("   190110")</f>
        <v xml:space="preserve">   190110</v>
      </c>
      <c r="B2815" t="s">
        <v>48</v>
      </c>
      <c r="C2815">
        <v>26497504</v>
      </c>
      <c r="D2815">
        <v>9044</v>
      </c>
    </row>
    <row r="2816" spans="1:4" x14ac:dyDescent="0.25">
      <c r="A2816" t="str">
        <f>T("   190531")</f>
        <v xml:space="preserve">   190531</v>
      </c>
      <c r="B2816" t="str">
        <f>T("   Biscuits additionnés d'édulcorants")</f>
        <v xml:space="preserve">   Biscuits additionnés d'édulcorants</v>
      </c>
      <c r="C2816">
        <v>1514904</v>
      </c>
      <c r="D2816">
        <v>87</v>
      </c>
    </row>
    <row r="2817" spans="1:4" x14ac:dyDescent="0.25">
      <c r="A2817" t="str">
        <f>T("   200980")</f>
        <v xml:space="preserve">   200980</v>
      </c>
      <c r="B281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2817">
        <v>10098504</v>
      </c>
      <c r="D2817">
        <v>60497</v>
      </c>
    </row>
    <row r="2818" spans="1:4" x14ac:dyDescent="0.25">
      <c r="A2818" t="str">
        <f>T("   210210")</f>
        <v xml:space="preserve">   210210</v>
      </c>
      <c r="B2818" t="str">
        <f>T("   Levures vivantes")</f>
        <v xml:space="preserve">   Levures vivantes</v>
      </c>
      <c r="C2818">
        <v>1268744</v>
      </c>
      <c r="D2818">
        <v>27</v>
      </c>
    </row>
    <row r="2819" spans="1:4" x14ac:dyDescent="0.25">
      <c r="A2819" t="str">
        <f>T("   210690")</f>
        <v xml:space="preserve">   210690</v>
      </c>
      <c r="B2819" t="str">
        <f>T("   Préparations alimentaires, n.d.a.")</f>
        <v xml:space="preserve">   Préparations alimentaires, n.d.a.</v>
      </c>
      <c r="C2819">
        <v>4024</v>
      </c>
      <c r="D2819">
        <v>4</v>
      </c>
    </row>
    <row r="2820" spans="1:4" x14ac:dyDescent="0.25">
      <c r="A2820" t="str">
        <f>T("   220290")</f>
        <v xml:space="preserve">   220290</v>
      </c>
      <c r="B2820" t="str">
        <f>T("   BOISSONS NON-ALCOOLIQUES (À L'EXCL. DES EAUX, DES JUS DE FRUITS OU DE LÉGUMES AINSI QUE DU LAIT)")</f>
        <v xml:space="preserve">   BOISSONS NON-ALCOOLIQUES (À L'EXCL. DES EAUX, DES JUS DE FRUITS OU DE LÉGUMES AINSI QUE DU LAIT)</v>
      </c>
      <c r="C2820">
        <v>232882579</v>
      </c>
      <c r="D2820">
        <v>1092983</v>
      </c>
    </row>
    <row r="2821" spans="1:4" x14ac:dyDescent="0.25">
      <c r="A2821" t="str">
        <f>T("   220300")</f>
        <v xml:space="preserve">   220300</v>
      </c>
      <c r="B2821" t="str">
        <f>T("   Bières de malt")</f>
        <v xml:space="preserve">   Bières de malt</v>
      </c>
      <c r="C2821">
        <v>72050070</v>
      </c>
      <c r="D2821">
        <v>471613</v>
      </c>
    </row>
    <row r="2822" spans="1:4" x14ac:dyDescent="0.25">
      <c r="A2822" t="str">
        <f>T("   220410")</f>
        <v xml:space="preserve">   220410</v>
      </c>
      <c r="B2822" t="str">
        <f>T("   Vins mousseux produits à partir de raisins frais")</f>
        <v xml:space="preserve">   Vins mousseux produits à partir de raisins frais</v>
      </c>
      <c r="C2822">
        <v>1819633</v>
      </c>
      <c r="D2822">
        <v>452</v>
      </c>
    </row>
    <row r="2823" spans="1:4" x14ac:dyDescent="0.25">
      <c r="A2823" t="str">
        <f>T("   220421")</f>
        <v xml:space="preserve">   220421</v>
      </c>
      <c r="B2823"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2823">
        <v>162022</v>
      </c>
      <c r="D2823">
        <v>46</v>
      </c>
    </row>
    <row r="2824" spans="1:4" x14ac:dyDescent="0.25">
      <c r="A2824" t="str">
        <f>T("   220429")</f>
        <v xml:space="preserve">   220429</v>
      </c>
      <c r="B2824"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2824">
        <v>8500</v>
      </c>
      <c r="D2824">
        <v>65</v>
      </c>
    </row>
    <row r="2825" spans="1:4" x14ac:dyDescent="0.25">
      <c r="A2825" t="str">
        <f>T("   220600")</f>
        <v xml:space="preserve">   220600</v>
      </c>
      <c r="B2825" t="s">
        <v>60</v>
      </c>
      <c r="C2825">
        <v>11943064</v>
      </c>
      <c r="D2825">
        <v>59270</v>
      </c>
    </row>
    <row r="2826" spans="1:4" x14ac:dyDescent="0.25">
      <c r="A2826" t="str">
        <f>T("   250590")</f>
        <v xml:space="preserve">   250590</v>
      </c>
      <c r="B2826"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2826">
        <v>4669779</v>
      </c>
      <c r="D2826">
        <v>6120</v>
      </c>
    </row>
    <row r="2827" spans="1:4" x14ac:dyDescent="0.25">
      <c r="A2827" t="str">
        <f>T("   271011")</f>
        <v xml:space="preserve">   271011</v>
      </c>
      <c r="B2827"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2827">
        <v>28705425</v>
      </c>
      <c r="D2827">
        <v>82915</v>
      </c>
    </row>
    <row r="2828" spans="1:4" x14ac:dyDescent="0.25">
      <c r="A2828" t="str">
        <f>T("   271019")</f>
        <v xml:space="preserve">   271019</v>
      </c>
      <c r="B2828" t="str">
        <f>T("   Huiles moyennes et préparations, de pétrole ou de minéraux bitumineux, n.d.a.")</f>
        <v xml:space="preserve">   Huiles moyennes et préparations, de pétrole ou de minéraux bitumineux, n.d.a.</v>
      </c>
      <c r="C2828">
        <v>46140690</v>
      </c>
      <c r="D2828">
        <v>160729</v>
      </c>
    </row>
    <row r="2829" spans="1:4" x14ac:dyDescent="0.25">
      <c r="A2829" t="str">
        <f>T("   271210")</f>
        <v xml:space="preserve">   271210</v>
      </c>
      <c r="B2829" t="str">
        <f>T("   Vaseline")</f>
        <v xml:space="preserve">   Vaseline</v>
      </c>
      <c r="C2829">
        <v>14359620</v>
      </c>
      <c r="D2829">
        <v>15600</v>
      </c>
    </row>
    <row r="2830" spans="1:4" x14ac:dyDescent="0.25">
      <c r="A2830" t="str">
        <f>T("   283326")</f>
        <v xml:space="preserve">   283326</v>
      </c>
      <c r="B2830" t="str">
        <f>T("   SULFATE DE ZINC")</f>
        <v xml:space="preserve">   SULFATE DE ZINC</v>
      </c>
      <c r="C2830">
        <v>700382</v>
      </c>
      <c r="D2830">
        <v>25</v>
      </c>
    </row>
    <row r="2831" spans="1:4" x14ac:dyDescent="0.25">
      <c r="A2831" t="str">
        <f>T("   283340")</f>
        <v xml:space="preserve">   283340</v>
      </c>
      <c r="B2831" t="str">
        <f>T("   Peroxosulfates [persulfates]")</f>
        <v xml:space="preserve">   Peroxosulfates [persulfates]</v>
      </c>
      <c r="C2831">
        <v>709360</v>
      </c>
      <c r="D2831">
        <v>25</v>
      </c>
    </row>
    <row r="2832" spans="1:4" x14ac:dyDescent="0.25">
      <c r="A2832" t="str">
        <f>T("   291619")</f>
        <v xml:space="preserve">   291619</v>
      </c>
      <c r="B2832" t="s">
        <v>70</v>
      </c>
      <c r="C2832">
        <v>1311884</v>
      </c>
      <c r="D2832">
        <v>124</v>
      </c>
    </row>
    <row r="2833" spans="1:4" x14ac:dyDescent="0.25">
      <c r="A2833" t="str">
        <f>T("   293399")</f>
        <v xml:space="preserve">   293399</v>
      </c>
      <c r="B2833" t="s">
        <v>74</v>
      </c>
      <c r="C2833">
        <v>65595</v>
      </c>
      <c r="D2833">
        <v>49</v>
      </c>
    </row>
    <row r="2834" spans="1:4" x14ac:dyDescent="0.25">
      <c r="A2834" t="str">
        <f>T("   293499")</f>
        <v xml:space="preserve">   293499</v>
      </c>
      <c r="B2834" t="s">
        <v>75</v>
      </c>
      <c r="C2834">
        <v>45917</v>
      </c>
      <c r="D2834">
        <v>10</v>
      </c>
    </row>
    <row r="2835" spans="1:4" x14ac:dyDescent="0.25">
      <c r="A2835" t="str">
        <f>T("   294200")</f>
        <v xml:space="preserve">   294200</v>
      </c>
      <c r="B2835" t="str">
        <f>T("   Composés organiques de constitution chimique définie présentés isolément, n.d.a.")</f>
        <v xml:space="preserve">   Composés organiques de constitution chimique définie présentés isolément, n.d.a.</v>
      </c>
      <c r="C2835">
        <v>420000</v>
      </c>
      <c r="D2835">
        <v>295.39999999999998</v>
      </c>
    </row>
    <row r="2836" spans="1:4" x14ac:dyDescent="0.25">
      <c r="A2836" t="str">
        <f>T("   300210")</f>
        <v xml:space="preserve">   300210</v>
      </c>
      <c r="B2836" t="str">
        <f>T("   Antisérums, autres fractions du sang, produits immunologiques modifiés, même obtenus par voie biotechnologique")</f>
        <v xml:space="preserve">   Antisérums, autres fractions du sang, produits immunologiques modifiés, même obtenus par voie biotechnologique</v>
      </c>
      <c r="C2836">
        <v>722704</v>
      </c>
      <c r="D2836">
        <v>3</v>
      </c>
    </row>
    <row r="2837" spans="1:4" x14ac:dyDescent="0.25">
      <c r="A2837" t="str">
        <f>T("   300410")</f>
        <v xml:space="preserve">   300410</v>
      </c>
      <c r="B2837" t="s">
        <v>78</v>
      </c>
      <c r="C2837">
        <v>11934646</v>
      </c>
      <c r="D2837">
        <v>2812</v>
      </c>
    </row>
    <row r="2838" spans="1:4" x14ac:dyDescent="0.25">
      <c r="A2838" t="str">
        <f>T("   300490")</f>
        <v xml:space="preserve">   300490</v>
      </c>
      <c r="B2838" t="s">
        <v>84</v>
      </c>
      <c r="C2838">
        <v>235722769</v>
      </c>
      <c r="D2838">
        <v>31885</v>
      </c>
    </row>
    <row r="2839" spans="1:4" x14ac:dyDescent="0.25">
      <c r="A2839" t="str">
        <f>T("   300510")</f>
        <v xml:space="preserve">   300510</v>
      </c>
      <c r="B2839"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2839">
        <v>381768</v>
      </c>
      <c r="D2839">
        <v>114</v>
      </c>
    </row>
    <row r="2840" spans="1:4" x14ac:dyDescent="0.25">
      <c r="A2840" t="str">
        <f>T("   300660")</f>
        <v xml:space="preserve">   300660</v>
      </c>
      <c r="B2840"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2840">
        <v>16167875</v>
      </c>
      <c r="D2840">
        <v>240</v>
      </c>
    </row>
    <row r="2841" spans="1:4" x14ac:dyDescent="0.25">
      <c r="A2841" t="str">
        <f>T("   310100")</f>
        <v xml:space="preserve">   310100</v>
      </c>
      <c r="B2841" t="s">
        <v>88</v>
      </c>
      <c r="C2841">
        <v>3364143</v>
      </c>
      <c r="D2841">
        <v>1100</v>
      </c>
    </row>
    <row r="2842" spans="1:4" x14ac:dyDescent="0.25">
      <c r="A2842" t="str">
        <f>T("   310390")</f>
        <v xml:space="preserve">   310390</v>
      </c>
      <c r="B2842" t="str">
        <f>T("   Engrais minéraux ou chimiques phosphatés (à l'excl. des superphosphates, des scories de déphosphoration et des produits présentés soit en tablettes ou formes simil., soit en emballages d'un poids brut &lt;= 10 kg)")</f>
        <v xml:space="preserve">   Engrais minéraux ou chimiques phosphatés (à l'excl. des superphosphates, des scories de déphosphoration et des produits présentés soit en tablettes ou formes simil., soit en emballages d'un poids brut &lt;= 10 kg)</v>
      </c>
      <c r="C2842">
        <v>430000</v>
      </c>
      <c r="D2842">
        <v>365</v>
      </c>
    </row>
    <row r="2843" spans="1:4" x14ac:dyDescent="0.25">
      <c r="A2843" t="str">
        <f>T("   320649")</f>
        <v xml:space="preserve">   320649</v>
      </c>
      <c r="B2843" t="s">
        <v>100</v>
      </c>
      <c r="C2843">
        <v>5096153</v>
      </c>
      <c r="D2843">
        <v>5155</v>
      </c>
    </row>
    <row r="2844" spans="1:4" x14ac:dyDescent="0.25">
      <c r="A2844" t="str">
        <f>T("   321590")</f>
        <v xml:space="preserve">   321590</v>
      </c>
      <c r="B2844" t="str">
        <f>T("   Encres à écrire et à dessiner, même concentrées ou sous formes solides")</f>
        <v xml:space="preserve">   Encres à écrire et à dessiner, même concentrées ou sous formes solides</v>
      </c>
      <c r="C2844">
        <v>160525</v>
      </c>
      <c r="D2844">
        <v>18</v>
      </c>
    </row>
    <row r="2845" spans="1:4" x14ac:dyDescent="0.25">
      <c r="A2845" t="str">
        <f>T("   330210")</f>
        <v xml:space="preserve">   330210</v>
      </c>
      <c r="B284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2845">
        <v>9346984</v>
      </c>
      <c r="D2845">
        <v>3417.6</v>
      </c>
    </row>
    <row r="2846" spans="1:4" x14ac:dyDescent="0.25">
      <c r="A2846" t="str">
        <f>T("   330410")</f>
        <v xml:space="preserve">   330410</v>
      </c>
      <c r="B2846" t="str">
        <f>T("   Produits de maquillage pour les lèvres")</f>
        <v xml:space="preserve">   Produits de maquillage pour les lèvres</v>
      </c>
      <c r="C2846">
        <v>1212871</v>
      </c>
      <c r="D2846">
        <v>373</v>
      </c>
    </row>
    <row r="2847" spans="1:4" x14ac:dyDescent="0.25">
      <c r="A2847" t="str">
        <f>T("   330499")</f>
        <v xml:space="preserve">   330499</v>
      </c>
      <c r="B2847" t="s">
        <v>106</v>
      </c>
      <c r="C2847">
        <v>53036065</v>
      </c>
      <c r="D2847">
        <v>37488</v>
      </c>
    </row>
    <row r="2848" spans="1:4" x14ac:dyDescent="0.25">
      <c r="A2848" t="str">
        <f>T("   330510")</f>
        <v xml:space="preserve">   330510</v>
      </c>
      <c r="B2848" t="str">
        <f>T("   Shampooings")</f>
        <v xml:space="preserve">   Shampooings</v>
      </c>
      <c r="C2848">
        <v>1283714</v>
      </c>
      <c r="D2848">
        <v>380</v>
      </c>
    </row>
    <row r="2849" spans="1:4" x14ac:dyDescent="0.25">
      <c r="A2849" t="str">
        <f>T("   330590")</f>
        <v xml:space="preserve">   330590</v>
      </c>
      <c r="B2849"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2849">
        <v>4854104</v>
      </c>
      <c r="D2849">
        <v>5700</v>
      </c>
    </row>
    <row r="2850" spans="1:4" x14ac:dyDescent="0.25">
      <c r="A2850" t="str">
        <f>T("   330710")</f>
        <v xml:space="preserve">   330710</v>
      </c>
      <c r="B2850" t="str">
        <f>T("   Préparations pour le prérasage, le rasage ou l'après-rasage")</f>
        <v xml:space="preserve">   Préparations pour le prérasage, le rasage ou l'après-rasage</v>
      </c>
      <c r="C2850">
        <v>3080390</v>
      </c>
      <c r="D2850">
        <v>915</v>
      </c>
    </row>
    <row r="2851" spans="1:4" x14ac:dyDescent="0.25">
      <c r="A2851" t="str">
        <f>T("   330720")</f>
        <v xml:space="preserve">   330720</v>
      </c>
      <c r="B2851" t="str">
        <f>T("   Désodorisants corporels et antisudoraux, préparés")</f>
        <v xml:space="preserve">   Désodorisants corporels et antisudoraux, préparés</v>
      </c>
      <c r="C2851">
        <v>48627628</v>
      </c>
      <c r="D2851">
        <v>14467</v>
      </c>
    </row>
    <row r="2852" spans="1:4" x14ac:dyDescent="0.25">
      <c r="A2852" t="str">
        <f>T("   340111")</f>
        <v xml:space="preserve">   340111</v>
      </c>
      <c r="B2852" t="s">
        <v>107</v>
      </c>
      <c r="C2852">
        <v>36502203</v>
      </c>
      <c r="D2852">
        <v>94852</v>
      </c>
    </row>
    <row r="2853" spans="1:4" x14ac:dyDescent="0.25">
      <c r="A2853" t="str">
        <f>T("   340119")</f>
        <v xml:space="preserve">   340119</v>
      </c>
      <c r="B2853" t="s">
        <v>108</v>
      </c>
      <c r="C2853">
        <v>19002898</v>
      </c>
      <c r="D2853">
        <v>83271</v>
      </c>
    </row>
    <row r="2854" spans="1:4" x14ac:dyDescent="0.25">
      <c r="A2854" t="str">
        <f>T("   340130")</f>
        <v xml:space="preserve">   340130</v>
      </c>
      <c r="B2854"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2854">
        <v>5954806</v>
      </c>
      <c r="D2854">
        <v>1635</v>
      </c>
    </row>
    <row r="2855" spans="1:4" x14ac:dyDescent="0.25">
      <c r="A2855" t="str">
        <f>T("   340290")</f>
        <v xml:space="preserve">   340290</v>
      </c>
      <c r="B2855" t="s">
        <v>110</v>
      </c>
      <c r="C2855">
        <v>3306447</v>
      </c>
      <c r="D2855">
        <v>2937</v>
      </c>
    </row>
    <row r="2856" spans="1:4" x14ac:dyDescent="0.25">
      <c r="A2856" t="str">
        <f>T("   340399")</f>
        <v xml:space="preserve">   340399</v>
      </c>
      <c r="B2856" t="s">
        <v>112</v>
      </c>
      <c r="C2856">
        <v>1179825</v>
      </c>
      <c r="D2856">
        <v>7</v>
      </c>
    </row>
    <row r="2857" spans="1:4" x14ac:dyDescent="0.25">
      <c r="A2857" t="str">
        <f>T("   350510")</f>
        <v xml:space="preserve">   350510</v>
      </c>
      <c r="B2857" t="str">
        <f>T("   DEXTRINE ET AUTRES AMIDONS ET FÉCULES MODIFIÉS [LES AMIDONS ET FÉCULES PRÉ-GÉLATINISÉS OU ESTÉRIFIÉS, P.EX.]")</f>
        <v xml:space="preserve">   DEXTRINE ET AUTRES AMIDONS ET FÉCULES MODIFIÉS [LES AMIDONS ET FÉCULES PRÉ-GÉLATINISÉS OU ESTÉRIFIÉS, P.EX.]</v>
      </c>
      <c r="C2857">
        <v>2216945</v>
      </c>
      <c r="D2857">
        <v>1</v>
      </c>
    </row>
    <row r="2858" spans="1:4" x14ac:dyDescent="0.25">
      <c r="A2858" t="str">
        <f>T("   350691")</f>
        <v xml:space="preserve">   350691</v>
      </c>
      <c r="B2858"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2858">
        <v>53708301</v>
      </c>
      <c r="D2858">
        <v>17007</v>
      </c>
    </row>
    <row r="2859" spans="1:4" x14ac:dyDescent="0.25">
      <c r="A2859" t="str">
        <f>T("   350699")</f>
        <v xml:space="preserve">   350699</v>
      </c>
      <c r="B2859" t="str">
        <f>T("   Colles et autres adhésifs préparés, n.d.a.")</f>
        <v xml:space="preserve">   Colles et autres adhésifs préparés, n.d.a.</v>
      </c>
      <c r="C2859">
        <v>5101900</v>
      </c>
      <c r="D2859">
        <v>2615</v>
      </c>
    </row>
    <row r="2860" spans="1:4" x14ac:dyDescent="0.25">
      <c r="A2860" t="str">
        <f>T("   370320")</f>
        <v xml:space="preserve">   370320</v>
      </c>
      <c r="B2860"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2860">
        <v>5900718</v>
      </c>
      <c r="D2860">
        <v>22994</v>
      </c>
    </row>
    <row r="2861" spans="1:4" x14ac:dyDescent="0.25">
      <c r="A2861" t="str">
        <f>T("   370710")</f>
        <v xml:space="preserve">   370710</v>
      </c>
      <c r="B2861" t="str">
        <f>T("   Emulsions pour la sensibilisation des surfaces, pour usages photographiques")</f>
        <v xml:space="preserve">   Emulsions pour la sensibilisation des surfaces, pour usages photographiques</v>
      </c>
      <c r="C2861">
        <v>258906</v>
      </c>
      <c r="D2861">
        <v>4000</v>
      </c>
    </row>
    <row r="2862" spans="1:4" x14ac:dyDescent="0.25">
      <c r="A2862" t="str">
        <f>T("   380290")</f>
        <v xml:space="preserve">   380290</v>
      </c>
      <c r="B2862"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2862">
        <v>19407232</v>
      </c>
      <c r="D2862">
        <v>36000</v>
      </c>
    </row>
    <row r="2863" spans="1:4" x14ac:dyDescent="0.25">
      <c r="A2863" t="str">
        <f>T("   380850")</f>
        <v xml:space="preserve">   380850</v>
      </c>
      <c r="B2863" t="s">
        <v>125</v>
      </c>
      <c r="C2863">
        <v>695030</v>
      </c>
      <c r="D2863">
        <v>150</v>
      </c>
    </row>
    <row r="2864" spans="1:4" x14ac:dyDescent="0.25">
      <c r="A2864" t="str">
        <f>T("   380899")</f>
        <v xml:space="preserve">   380899</v>
      </c>
      <c r="B2864" t="s">
        <v>126</v>
      </c>
      <c r="C2864">
        <v>1571680</v>
      </c>
      <c r="D2864">
        <v>426</v>
      </c>
    </row>
    <row r="2865" spans="1:4" x14ac:dyDescent="0.25">
      <c r="A2865" t="str">
        <f>T("   381121")</f>
        <v xml:space="preserve">   381121</v>
      </c>
      <c r="B2865" t="str">
        <f>T("   Additifs préparés pour huiles lubrifiantes, contenant des huiles de pétrole ou de minéraux bitumineux")</f>
        <v xml:space="preserve">   Additifs préparés pour huiles lubrifiantes, contenant des huiles de pétrole ou de minéraux bitumineux</v>
      </c>
      <c r="C2865">
        <v>1016738</v>
      </c>
      <c r="D2865">
        <v>203</v>
      </c>
    </row>
    <row r="2866" spans="1:4" x14ac:dyDescent="0.25">
      <c r="A2866" t="str">
        <f>T("   381400")</f>
        <v xml:space="preserve">   381400</v>
      </c>
      <c r="B286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2866">
        <v>19139598</v>
      </c>
      <c r="D2866">
        <v>42684</v>
      </c>
    </row>
    <row r="2867" spans="1:4" x14ac:dyDescent="0.25">
      <c r="A2867" t="str">
        <f>T("   381600")</f>
        <v xml:space="preserve">   381600</v>
      </c>
      <c r="B2867"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2867">
        <v>5397895</v>
      </c>
      <c r="D2867">
        <v>7764</v>
      </c>
    </row>
    <row r="2868" spans="1:4" x14ac:dyDescent="0.25">
      <c r="A2868" t="str">
        <f>T("   382200")</f>
        <v xml:space="preserve">   382200</v>
      </c>
      <c r="B2868" t="s">
        <v>133</v>
      </c>
      <c r="C2868">
        <v>87382854</v>
      </c>
      <c r="D2868">
        <v>30783.4</v>
      </c>
    </row>
    <row r="2869" spans="1:4" x14ac:dyDescent="0.25">
      <c r="A2869" t="str">
        <f>T("   382440")</f>
        <v xml:space="preserve">   382440</v>
      </c>
      <c r="B2869" t="str">
        <f>T("   Additifs préparés pour ciments, mortiers ou bétons")</f>
        <v xml:space="preserve">   Additifs préparés pour ciments, mortiers ou bétons</v>
      </c>
      <c r="C2869">
        <v>243804087</v>
      </c>
      <c r="D2869">
        <v>50740</v>
      </c>
    </row>
    <row r="2870" spans="1:4" x14ac:dyDescent="0.25">
      <c r="A2870" t="str">
        <f>T("   390930")</f>
        <v xml:space="preserve">   390930</v>
      </c>
      <c r="B2870"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2870">
        <v>13098865</v>
      </c>
      <c r="D2870">
        <v>24750</v>
      </c>
    </row>
    <row r="2871" spans="1:4" x14ac:dyDescent="0.25">
      <c r="A2871" t="str">
        <f>T("   391740")</f>
        <v xml:space="preserve">   391740</v>
      </c>
      <c r="B2871" t="str">
        <f>T("   Accessoires pour tubes ou tuyaux [joints, coudes, raccords, par exemple], en matières plastiques")</f>
        <v xml:space="preserve">   Accessoires pour tubes ou tuyaux [joints, coudes, raccords, par exemple], en matières plastiques</v>
      </c>
      <c r="C2871">
        <v>2151841</v>
      </c>
      <c r="D2871">
        <v>35</v>
      </c>
    </row>
    <row r="2872" spans="1:4" x14ac:dyDescent="0.25">
      <c r="A2872" t="str">
        <f>T("   392010")</f>
        <v xml:space="preserve">   392010</v>
      </c>
      <c r="B2872" t="s">
        <v>140</v>
      </c>
      <c r="C2872">
        <v>14575849</v>
      </c>
      <c r="D2872">
        <v>2568</v>
      </c>
    </row>
    <row r="2873" spans="1:4" x14ac:dyDescent="0.25">
      <c r="A2873" t="str">
        <f>T("   392059")</f>
        <v xml:space="preserve">   392059</v>
      </c>
      <c r="B2873" t="s">
        <v>144</v>
      </c>
      <c r="C2873">
        <v>372999</v>
      </c>
      <c r="D2873">
        <v>800</v>
      </c>
    </row>
    <row r="2874" spans="1:4" x14ac:dyDescent="0.25">
      <c r="A2874" t="str">
        <f>T("   392290")</f>
        <v xml:space="preserve">   392290</v>
      </c>
      <c r="B2874"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2874">
        <v>1326413</v>
      </c>
      <c r="D2874">
        <v>85</v>
      </c>
    </row>
    <row r="2875" spans="1:4" x14ac:dyDescent="0.25">
      <c r="A2875" t="str">
        <f>T("   392310")</f>
        <v xml:space="preserve">   392310</v>
      </c>
      <c r="B2875" t="str">
        <f>T("   Boîtes, caisses, casiers et articles simil. pour le transport ou l'emballage, en matières plastiques")</f>
        <v xml:space="preserve">   Boîtes, caisses, casiers et articles simil. pour le transport ou l'emballage, en matières plastiques</v>
      </c>
      <c r="C2875">
        <v>2767705</v>
      </c>
      <c r="D2875">
        <v>301</v>
      </c>
    </row>
    <row r="2876" spans="1:4" x14ac:dyDescent="0.25">
      <c r="A2876" t="str">
        <f>T("   392690")</f>
        <v xml:space="preserve">   392690</v>
      </c>
      <c r="B2876" t="str">
        <f>T("   Ouvrages en matières plastiques et ouvrages en autres matières du n° 3901 à 3914, n.d.a.")</f>
        <v xml:space="preserve">   Ouvrages en matières plastiques et ouvrages en autres matières du n° 3901 à 3914, n.d.a.</v>
      </c>
      <c r="C2876">
        <v>19548501</v>
      </c>
      <c r="D2876">
        <v>485</v>
      </c>
    </row>
    <row r="2877" spans="1:4" x14ac:dyDescent="0.25">
      <c r="A2877" t="str">
        <f>T("   400400")</f>
        <v xml:space="preserve">   400400</v>
      </c>
      <c r="B2877" t="str">
        <f>T("   Déchets, débris et rognures de caoutchouc non durci, même réduits en poudre ou en granulés")</f>
        <v xml:space="preserve">   Déchets, débris et rognures de caoutchouc non durci, même réduits en poudre ou en granulés</v>
      </c>
      <c r="C2877">
        <v>6291056</v>
      </c>
      <c r="D2877">
        <v>1930</v>
      </c>
    </row>
    <row r="2878" spans="1:4" x14ac:dyDescent="0.25">
      <c r="A2878" t="str">
        <f>T("   401019")</f>
        <v xml:space="preserve">   401019</v>
      </c>
      <c r="B2878"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2878">
        <v>2730490</v>
      </c>
      <c r="D2878">
        <v>1441</v>
      </c>
    </row>
    <row r="2879" spans="1:4" x14ac:dyDescent="0.25">
      <c r="A2879" t="str">
        <f>T("   401035")</f>
        <v xml:space="preserve">   401035</v>
      </c>
      <c r="B2879" t="str">
        <f>T("   COURROIES DE TRANSMISSION SANS FIN, CRANTÉES 'SYNCHRONES', EN CAOUTCHOUC VULCANISÉ, D'UNE CIRCONFÉRENCE EXTÉRIEURE &gt; 60 CM MAIS &lt;= 150 CM")</f>
        <v xml:space="preserve">   COURROIES DE TRANSMISSION SANS FIN, CRANTÉES 'SYNCHRONES', EN CAOUTCHOUC VULCANISÉ, D'UNE CIRCONFÉRENCE EXTÉRIEURE &gt; 60 CM MAIS &lt;= 150 CM</v>
      </c>
      <c r="C2879">
        <v>1129008</v>
      </c>
      <c r="D2879">
        <v>7</v>
      </c>
    </row>
    <row r="2880" spans="1:4" x14ac:dyDescent="0.25">
      <c r="A2880" t="str">
        <f>T("   401039")</f>
        <v xml:space="preserve">   401039</v>
      </c>
      <c r="B2880" t="s">
        <v>164</v>
      </c>
      <c r="C2880">
        <v>16857111</v>
      </c>
      <c r="D2880">
        <v>243</v>
      </c>
    </row>
    <row r="2881" spans="1:4" x14ac:dyDescent="0.25">
      <c r="A2881" t="str">
        <f>T("   401110")</f>
        <v xml:space="preserve">   401110</v>
      </c>
      <c r="B288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2881">
        <v>7824291</v>
      </c>
      <c r="D2881">
        <v>2449</v>
      </c>
    </row>
    <row r="2882" spans="1:4" x14ac:dyDescent="0.25">
      <c r="A2882" t="str">
        <f>T("   401120")</f>
        <v xml:space="preserve">   401120</v>
      </c>
      <c r="B288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2882">
        <v>32235811</v>
      </c>
      <c r="D2882">
        <v>8961</v>
      </c>
    </row>
    <row r="2883" spans="1:4" x14ac:dyDescent="0.25">
      <c r="A2883" t="str">
        <f>T("   401162")</f>
        <v xml:space="preserve">   401162</v>
      </c>
      <c r="B2883"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2883">
        <v>17151714</v>
      </c>
      <c r="D2883">
        <v>4488</v>
      </c>
    </row>
    <row r="2884" spans="1:4" x14ac:dyDescent="0.25">
      <c r="A2884" t="str">
        <f>T("   401211")</f>
        <v xml:space="preserve">   401211</v>
      </c>
      <c r="B2884"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2884">
        <v>72356000</v>
      </c>
      <c r="D2884">
        <v>84294</v>
      </c>
    </row>
    <row r="2885" spans="1:4" x14ac:dyDescent="0.25">
      <c r="A2885" t="str">
        <f>T("   401212")</f>
        <v xml:space="preserve">   401212</v>
      </c>
      <c r="B2885" t="str">
        <f>T("   Pneumatiques rechapés, en caoutchouc, des types utilisés pour les autobus ou camions")</f>
        <v xml:space="preserve">   Pneumatiques rechapés, en caoutchouc, des types utilisés pour les autobus ou camions</v>
      </c>
      <c r="C2885">
        <v>56673073</v>
      </c>
      <c r="D2885">
        <v>94417</v>
      </c>
    </row>
    <row r="2886" spans="1:4" x14ac:dyDescent="0.25">
      <c r="A2886" t="str">
        <f>T("   401220")</f>
        <v xml:space="preserve">   401220</v>
      </c>
      <c r="B2886" t="str">
        <f>T("   Pneumatiques usagés, en caoutchouc")</f>
        <v xml:space="preserve">   Pneumatiques usagés, en caoutchouc</v>
      </c>
      <c r="C2886">
        <v>1839269070</v>
      </c>
      <c r="D2886">
        <v>5768153</v>
      </c>
    </row>
    <row r="2887" spans="1:4" x14ac:dyDescent="0.25">
      <c r="A2887" t="str">
        <f>T("   401310")</f>
        <v xml:space="preserve">   401310</v>
      </c>
      <c r="B2887"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2887">
        <v>98709133</v>
      </c>
      <c r="D2887">
        <v>371474</v>
      </c>
    </row>
    <row r="2888" spans="1:4" x14ac:dyDescent="0.25">
      <c r="A2888" t="str">
        <f>T("   401390")</f>
        <v xml:space="preserve">   401390</v>
      </c>
      <c r="B2888"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2888">
        <v>24393737</v>
      </c>
      <c r="D2888">
        <v>209235</v>
      </c>
    </row>
    <row r="2889" spans="1:4" x14ac:dyDescent="0.25">
      <c r="A2889" t="str">
        <f>T("   401511")</f>
        <v xml:space="preserve">   401511</v>
      </c>
      <c r="B2889" t="str">
        <f>T("   Gants en caoutchouc vulcanisé non durci, pour la chirurgie")</f>
        <v xml:space="preserve">   Gants en caoutchouc vulcanisé non durci, pour la chirurgie</v>
      </c>
      <c r="C2889">
        <v>153724</v>
      </c>
      <c r="D2889">
        <v>42</v>
      </c>
    </row>
    <row r="2890" spans="1:4" x14ac:dyDescent="0.25">
      <c r="A2890" t="str">
        <f>T("   401693")</f>
        <v xml:space="preserve">   401693</v>
      </c>
      <c r="B2890" t="str">
        <f>T("   Joints en caoutchouc vulcanisé non durci (à l'excl. des articles en caoutchouc alvéolaire)")</f>
        <v xml:space="preserve">   Joints en caoutchouc vulcanisé non durci (à l'excl. des articles en caoutchouc alvéolaire)</v>
      </c>
      <c r="C2890">
        <v>9934669</v>
      </c>
      <c r="D2890">
        <v>127</v>
      </c>
    </row>
    <row r="2891" spans="1:4" x14ac:dyDescent="0.25">
      <c r="A2891" t="str">
        <f>T("   401699")</f>
        <v xml:space="preserve">   401699</v>
      </c>
      <c r="B2891" t="str">
        <f>T("   OUVRAGES EN CAOUTCHOUC VULCANISÉ NON-DURCI, N.D.A.")</f>
        <v xml:space="preserve">   OUVRAGES EN CAOUTCHOUC VULCANISÉ NON-DURCI, N.D.A.</v>
      </c>
      <c r="C2891">
        <v>13971529</v>
      </c>
      <c r="D2891">
        <v>648</v>
      </c>
    </row>
    <row r="2892" spans="1:4" x14ac:dyDescent="0.25">
      <c r="A2892" t="str">
        <f>T("   420212")</f>
        <v xml:space="preserve">   420212</v>
      </c>
      <c r="B2892"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2892">
        <v>700565</v>
      </c>
      <c r="D2892">
        <v>19</v>
      </c>
    </row>
    <row r="2893" spans="1:4" x14ac:dyDescent="0.25">
      <c r="A2893" t="str">
        <f>T("   420219")</f>
        <v xml:space="preserve">   420219</v>
      </c>
      <c r="B2893" t="s">
        <v>171</v>
      </c>
      <c r="C2893">
        <v>1281437</v>
      </c>
      <c r="D2893">
        <v>19</v>
      </c>
    </row>
    <row r="2894" spans="1:4" x14ac:dyDescent="0.25">
      <c r="A2894" t="str">
        <f>T("   441199")</f>
        <v xml:space="preserve">   441199</v>
      </c>
      <c r="B2894" t="s">
        <v>189</v>
      </c>
      <c r="C2894">
        <v>45903405</v>
      </c>
      <c r="D2894">
        <v>197000</v>
      </c>
    </row>
    <row r="2895" spans="1:4" x14ac:dyDescent="0.25">
      <c r="A2895" t="str">
        <f>T("   441840")</f>
        <v xml:space="preserve">   441840</v>
      </c>
      <c r="B2895" t="str">
        <f>T("   Coffrages pour le bétonnage, en bois (à l'excl. des panneaux en bois contre-plaqués)")</f>
        <v xml:space="preserve">   Coffrages pour le bétonnage, en bois (à l'excl. des panneaux en bois contre-plaqués)</v>
      </c>
      <c r="C2895">
        <v>11058829</v>
      </c>
      <c r="D2895">
        <v>22356</v>
      </c>
    </row>
    <row r="2896" spans="1:4" x14ac:dyDescent="0.25">
      <c r="A2896" t="str">
        <f>T("   480269")</f>
        <v xml:space="preserve">   480269</v>
      </c>
      <c r="B2896" t="s">
        <v>208</v>
      </c>
      <c r="C2896">
        <v>31271581</v>
      </c>
      <c r="D2896">
        <v>25282</v>
      </c>
    </row>
    <row r="2897" spans="1:4" x14ac:dyDescent="0.25">
      <c r="A2897" t="str">
        <f>T("   481200")</f>
        <v xml:space="preserve">   481200</v>
      </c>
      <c r="B2897" t="str">
        <f>T("   Blocs filtrants et plaques filtrantes, en pâte à papier")</f>
        <v xml:space="preserve">   Blocs filtrants et plaques filtrantes, en pâte à papier</v>
      </c>
      <c r="C2897">
        <v>4634371</v>
      </c>
      <c r="D2897">
        <v>320</v>
      </c>
    </row>
    <row r="2898" spans="1:4" x14ac:dyDescent="0.25">
      <c r="A2898" t="str">
        <f>T("   481950")</f>
        <v xml:space="preserve">   481950</v>
      </c>
      <c r="B2898" t="s">
        <v>233</v>
      </c>
      <c r="C2898">
        <v>9839</v>
      </c>
      <c r="D2898">
        <v>2</v>
      </c>
    </row>
    <row r="2899" spans="1:4" x14ac:dyDescent="0.25">
      <c r="A2899" t="str">
        <f>T("   482010")</f>
        <v xml:space="preserve">   482010</v>
      </c>
      <c r="B289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2899">
        <v>401448</v>
      </c>
      <c r="D2899">
        <v>0.5</v>
      </c>
    </row>
    <row r="2900" spans="1:4" x14ac:dyDescent="0.25">
      <c r="A2900" t="str">
        <f>T("   482110")</f>
        <v xml:space="preserve">   482110</v>
      </c>
      <c r="B2900" t="str">
        <f>T("   ÉTIQUETTES DE TOUS GENRES, EN PAPIER OU EN CARTON, IMPRIMÉES")</f>
        <v xml:space="preserve">   ÉTIQUETTES DE TOUS GENRES, EN PAPIER OU EN CARTON, IMPRIMÉES</v>
      </c>
      <c r="C2900">
        <v>7669309</v>
      </c>
      <c r="D2900">
        <v>440</v>
      </c>
    </row>
    <row r="2901" spans="1:4" x14ac:dyDescent="0.25">
      <c r="A2901" t="str">
        <f>T("   482190")</f>
        <v xml:space="preserve">   482190</v>
      </c>
      <c r="B2901" t="str">
        <f>T("   ÉTIQUETTES DE TOUS GENRES, EN PAPIER OU EN CARTON, NON-IMPRIMÉES")</f>
        <v xml:space="preserve">   ÉTIQUETTES DE TOUS GENRES, EN PAPIER OU EN CARTON, NON-IMPRIMÉES</v>
      </c>
      <c r="C2901">
        <v>6705778</v>
      </c>
      <c r="D2901">
        <v>248</v>
      </c>
    </row>
    <row r="2902" spans="1:4" x14ac:dyDescent="0.25">
      <c r="A2902" t="str">
        <f>T("   490191")</f>
        <v xml:space="preserve">   490191</v>
      </c>
      <c r="B2902" t="str">
        <f>T("   Dictionnaires et encyclopédies, même en fascicules")</f>
        <v xml:space="preserve">   Dictionnaires et encyclopédies, même en fascicules</v>
      </c>
      <c r="C2902">
        <v>4581496</v>
      </c>
      <c r="D2902">
        <v>816</v>
      </c>
    </row>
    <row r="2903" spans="1:4" x14ac:dyDescent="0.25">
      <c r="A2903" t="str">
        <f>T("   490199")</f>
        <v xml:space="preserve">   490199</v>
      </c>
      <c r="B29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903">
        <v>40266706</v>
      </c>
      <c r="D2903">
        <v>17838</v>
      </c>
    </row>
    <row r="2904" spans="1:4" x14ac:dyDescent="0.25">
      <c r="A2904" t="str">
        <f>T("   490599")</f>
        <v xml:space="preserve">   490599</v>
      </c>
      <c r="B2904"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2904">
        <v>347003</v>
      </c>
      <c r="D2904">
        <v>122</v>
      </c>
    </row>
    <row r="2905" spans="1:4" x14ac:dyDescent="0.25">
      <c r="A2905" t="str">
        <f>T("   491000")</f>
        <v xml:space="preserve">   491000</v>
      </c>
      <c r="B2905" t="str">
        <f>T("   Calendriers de tous genres, imprimés, y.c. les blocs de calendriers à effeuiller")</f>
        <v xml:space="preserve">   Calendriers de tous genres, imprimés, y.c. les blocs de calendriers à effeuiller</v>
      </c>
      <c r="C2905">
        <v>1620375</v>
      </c>
      <c r="D2905">
        <v>709</v>
      </c>
    </row>
    <row r="2906" spans="1:4" x14ac:dyDescent="0.25">
      <c r="A2906" t="str">
        <f>T("   491110")</f>
        <v xml:space="preserve">   491110</v>
      </c>
      <c r="B2906" t="str">
        <f>T("   Imprimés publicitaires, catalogues commerciaux et simil.")</f>
        <v xml:space="preserve">   Imprimés publicitaires, catalogues commerciaux et simil.</v>
      </c>
      <c r="C2906">
        <v>1548780</v>
      </c>
      <c r="D2906">
        <v>4245</v>
      </c>
    </row>
    <row r="2907" spans="1:4" x14ac:dyDescent="0.25">
      <c r="A2907" t="str">
        <f>T("   491199")</f>
        <v xml:space="preserve">   491199</v>
      </c>
      <c r="B2907" t="str">
        <f>T("   Imprimés, n.d.a.")</f>
        <v xml:space="preserve">   Imprimés, n.d.a.</v>
      </c>
      <c r="C2907">
        <v>352251</v>
      </c>
      <c r="D2907">
        <v>136</v>
      </c>
    </row>
    <row r="2908" spans="1:4" x14ac:dyDescent="0.25">
      <c r="A2908" t="str">
        <f>T("   520839")</f>
        <v xml:space="preserve">   520839</v>
      </c>
      <c r="B2908"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2908">
        <v>4380000</v>
      </c>
      <c r="D2908">
        <v>4675</v>
      </c>
    </row>
    <row r="2909" spans="1:4" x14ac:dyDescent="0.25">
      <c r="A2909" t="str">
        <f>T("   520859")</f>
        <v xml:space="preserve">   520859</v>
      </c>
      <c r="B2909" t="str">
        <f>T("   TISSUS DE COTON, IMPRIMÉS, CONTENANT &gt;= 85% EN POIDS DE COTON, D'UN POIDS &lt;= 200 G/M² (À L'EXCL. DES TISSUS À ARMURE TOILE)")</f>
        <v xml:space="preserve">   TISSUS DE COTON, IMPRIMÉS, CONTENANT &gt;= 85% EN POIDS DE COTON, D'UN POIDS &lt;= 200 G/M² (À L'EXCL. DES TISSUS À ARMURE TOILE)</v>
      </c>
      <c r="C2909">
        <v>17623749</v>
      </c>
      <c r="D2909">
        <v>10407</v>
      </c>
    </row>
    <row r="2910" spans="1:4" x14ac:dyDescent="0.25">
      <c r="A2910" t="str">
        <f>T("   520929")</f>
        <v xml:space="preserve">   520929</v>
      </c>
      <c r="B2910"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2910">
        <v>8750000</v>
      </c>
      <c r="D2910">
        <v>5143</v>
      </c>
    </row>
    <row r="2911" spans="1:4" x14ac:dyDescent="0.25">
      <c r="A2911" t="str">
        <f>T("   540110")</f>
        <v xml:space="preserve">   540110</v>
      </c>
      <c r="B2911" t="str">
        <f>T("   Fils à coudre de filaments synthétiques, même conditionnés pour la vente au détail")</f>
        <v xml:space="preserve">   Fils à coudre de filaments synthétiques, même conditionnés pour la vente au détail</v>
      </c>
      <c r="C2911">
        <v>1480000</v>
      </c>
      <c r="D2911">
        <v>1080</v>
      </c>
    </row>
    <row r="2912" spans="1:4" x14ac:dyDescent="0.25">
      <c r="A2912" t="str">
        <f>T("   551349")</f>
        <v xml:space="preserve">   551349</v>
      </c>
      <c r="B2912"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2912">
        <v>119955</v>
      </c>
      <c r="D2912">
        <v>201</v>
      </c>
    </row>
    <row r="2913" spans="1:4" x14ac:dyDescent="0.25">
      <c r="A2913" t="str">
        <f>T("   560110")</f>
        <v xml:space="preserve">   560110</v>
      </c>
      <c r="B2913" t="str">
        <f>T("   Serviettes et tampons hygiéniques, couches pour bébés et articles hygiéniques simil., en ouates")</f>
        <v xml:space="preserve">   Serviettes et tampons hygiéniques, couches pour bébés et articles hygiéniques simil., en ouates</v>
      </c>
      <c r="C2913">
        <v>30000</v>
      </c>
      <c r="D2913">
        <v>20</v>
      </c>
    </row>
    <row r="2914" spans="1:4" x14ac:dyDescent="0.25">
      <c r="A2914" t="str">
        <f>T("   570390")</f>
        <v xml:space="preserve">   570390</v>
      </c>
      <c r="B291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2914">
        <v>546415</v>
      </c>
      <c r="D2914">
        <v>1000</v>
      </c>
    </row>
    <row r="2915" spans="1:4" x14ac:dyDescent="0.25">
      <c r="A2915" t="str">
        <f>T("   570500")</f>
        <v xml:space="preserve">   570500</v>
      </c>
      <c r="B291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2915">
        <v>1965912</v>
      </c>
      <c r="D2915">
        <v>2600</v>
      </c>
    </row>
    <row r="2916" spans="1:4" x14ac:dyDescent="0.25">
      <c r="A2916" t="str">
        <f>T("   591190")</f>
        <v xml:space="preserve">   591190</v>
      </c>
      <c r="B2916" t="str">
        <f>T("   Produits et articles textiles pour usages techniques, en matières textiles, visés à la note 7 du présent chapitre, n.d.a.")</f>
        <v xml:space="preserve">   Produits et articles textiles pour usages techniques, en matières textiles, visés à la note 7 du présent chapitre, n.d.a.</v>
      </c>
      <c r="C2916">
        <v>5289802</v>
      </c>
      <c r="D2916">
        <v>58</v>
      </c>
    </row>
    <row r="2917" spans="1:4" x14ac:dyDescent="0.25">
      <c r="A2917" t="str">
        <f>T("   610799")</f>
        <v xml:space="preserve">   610799</v>
      </c>
      <c r="B2917"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2917">
        <v>160000</v>
      </c>
      <c r="D2917">
        <v>450</v>
      </c>
    </row>
    <row r="2918" spans="1:4" x14ac:dyDescent="0.25">
      <c r="A2918" t="str">
        <f>T("   610990")</f>
        <v xml:space="preserve">   610990</v>
      </c>
      <c r="B2918" t="str">
        <f>T("   T-shirts et maillots de corps, en bonneterie, de matières textiles (sauf de coton)")</f>
        <v xml:space="preserve">   T-shirts et maillots de corps, en bonneterie, de matières textiles (sauf de coton)</v>
      </c>
      <c r="C2918">
        <v>368754</v>
      </c>
      <c r="D2918">
        <v>24</v>
      </c>
    </row>
    <row r="2919" spans="1:4" x14ac:dyDescent="0.25">
      <c r="A2919" t="str">
        <f>T("   620349")</f>
        <v xml:space="preserve">   620349</v>
      </c>
      <c r="B2919" t="s">
        <v>289</v>
      </c>
      <c r="C2919">
        <v>1500000</v>
      </c>
      <c r="D2919">
        <v>665</v>
      </c>
    </row>
    <row r="2920" spans="1:4" x14ac:dyDescent="0.25">
      <c r="A2920" t="str">
        <f>T("   620590")</f>
        <v xml:space="preserve">   620590</v>
      </c>
      <c r="B292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920">
        <v>16735387</v>
      </c>
      <c r="D2920">
        <v>24200</v>
      </c>
    </row>
    <row r="2921" spans="1:4" x14ac:dyDescent="0.25">
      <c r="A2921" t="str">
        <f>T("   630319")</f>
        <v xml:space="preserve">   630319</v>
      </c>
      <c r="B2921"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2921">
        <v>8837093</v>
      </c>
      <c r="D2921">
        <v>24670</v>
      </c>
    </row>
    <row r="2922" spans="1:4" x14ac:dyDescent="0.25">
      <c r="A2922" t="str">
        <f>T("   630649")</f>
        <v xml:space="preserve">   630649</v>
      </c>
      <c r="B2922" t="str">
        <f>T("   Matelas pneumatiques de matières textiles (autres que de coton)")</f>
        <v xml:space="preserve">   Matelas pneumatiques de matières textiles (autres que de coton)</v>
      </c>
      <c r="C2922">
        <v>236000</v>
      </c>
      <c r="D2922">
        <v>50</v>
      </c>
    </row>
    <row r="2923" spans="1:4" x14ac:dyDescent="0.25">
      <c r="A2923" t="str">
        <f>T("   630900")</f>
        <v xml:space="preserve">   630900</v>
      </c>
      <c r="B2923" t="s">
        <v>300</v>
      </c>
      <c r="C2923">
        <v>762595387</v>
      </c>
      <c r="D2923">
        <v>1323463</v>
      </c>
    </row>
    <row r="2924" spans="1:4" x14ac:dyDescent="0.25">
      <c r="A2924" t="str">
        <f>T("   640299")</f>
        <v xml:space="preserve">   640299</v>
      </c>
      <c r="B2924" t="s">
        <v>305</v>
      </c>
      <c r="C2924">
        <v>19600000</v>
      </c>
      <c r="D2924">
        <v>28000</v>
      </c>
    </row>
    <row r="2925" spans="1:4" x14ac:dyDescent="0.25">
      <c r="A2925" t="str">
        <f>T("   640590")</f>
        <v xml:space="preserve">   640590</v>
      </c>
      <c r="B2925" t="s">
        <v>311</v>
      </c>
      <c r="C2925">
        <v>9800000</v>
      </c>
      <c r="D2925">
        <v>13608</v>
      </c>
    </row>
    <row r="2926" spans="1:4" x14ac:dyDescent="0.25">
      <c r="A2926" t="str">
        <f>T("   680520")</f>
        <v xml:space="preserve">   680520</v>
      </c>
      <c r="B2926"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2926">
        <v>850780</v>
      </c>
      <c r="D2926">
        <v>1180</v>
      </c>
    </row>
    <row r="2927" spans="1:4" x14ac:dyDescent="0.25">
      <c r="A2927" t="str">
        <f>T("   680610")</f>
        <v xml:space="preserve">   680610</v>
      </c>
      <c r="B2927"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2927">
        <v>2655983</v>
      </c>
      <c r="D2927">
        <v>636</v>
      </c>
    </row>
    <row r="2928" spans="1:4" x14ac:dyDescent="0.25">
      <c r="A2928" t="str">
        <f>T("   680690")</f>
        <v xml:space="preserve">   680690</v>
      </c>
      <c r="B2928" t="s">
        <v>323</v>
      </c>
      <c r="C2928">
        <v>13088370</v>
      </c>
      <c r="D2928">
        <v>9465</v>
      </c>
    </row>
    <row r="2929" spans="1:4" x14ac:dyDescent="0.25">
      <c r="A2929" t="str">
        <f>T("   690210")</f>
        <v xml:space="preserve">   690210</v>
      </c>
      <c r="B2929"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2929">
        <v>103327475</v>
      </c>
      <c r="D2929">
        <v>120034</v>
      </c>
    </row>
    <row r="2930" spans="1:4" x14ac:dyDescent="0.25">
      <c r="A2930" t="str">
        <f>T("   690220")</f>
        <v xml:space="preserve">   690220</v>
      </c>
      <c r="B2930" t="s">
        <v>329</v>
      </c>
      <c r="C2930">
        <v>114273480</v>
      </c>
      <c r="D2930">
        <v>126439</v>
      </c>
    </row>
    <row r="2931" spans="1:4" x14ac:dyDescent="0.25">
      <c r="A2931" t="str">
        <f>T("   690590")</f>
        <v xml:space="preserve">   690590</v>
      </c>
      <c r="B2931" t="s">
        <v>334</v>
      </c>
      <c r="C2931">
        <v>7886269</v>
      </c>
      <c r="D2931">
        <v>136640</v>
      </c>
    </row>
    <row r="2932" spans="1:4" x14ac:dyDescent="0.25">
      <c r="A2932" t="str">
        <f>T("   690890")</f>
        <v xml:space="preserve">   690890</v>
      </c>
      <c r="B2932" t="s">
        <v>336</v>
      </c>
      <c r="C2932">
        <v>13587837</v>
      </c>
      <c r="D2932">
        <v>58840</v>
      </c>
    </row>
    <row r="2933" spans="1:4" x14ac:dyDescent="0.25">
      <c r="A2933" t="str">
        <f>T("   700729")</f>
        <v xml:space="preserve">   700729</v>
      </c>
      <c r="B2933" t="s">
        <v>347</v>
      </c>
      <c r="C2933">
        <v>1770666</v>
      </c>
      <c r="D2933">
        <v>41</v>
      </c>
    </row>
    <row r="2934" spans="1:4" x14ac:dyDescent="0.25">
      <c r="A2934" t="str">
        <f>T("   701090")</f>
        <v xml:space="preserve">   701090</v>
      </c>
      <c r="B2934" t="s">
        <v>348</v>
      </c>
      <c r="C2934">
        <v>1335335</v>
      </c>
      <c r="D2934">
        <v>815</v>
      </c>
    </row>
    <row r="2935" spans="1:4" x14ac:dyDescent="0.25">
      <c r="A2935" t="str">
        <f>T("   701337")</f>
        <v xml:space="preserve">   701337</v>
      </c>
      <c r="B2935" t="str">
        <f>T("   VERRES À BOIRE (À L'EXCL. DES VERRES EN VITROCÉRAME ET EN CRISTAL AU PLOMB AINSI QUE DES VERRES À PIED)")</f>
        <v xml:space="preserve">   VERRES À BOIRE (À L'EXCL. DES VERRES EN VITROCÉRAME ET EN CRISTAL AU PLOMB AINSI QUE DES VERRES À PIED)</v>
      </c>
      <c r="C2935">
        <v>2823070</v>
      </c>
      <c r="D2935">
        <v>970</v>
      </c>
    </row>
    <row r="2936" spans="1:4" x14ac:dyDescent="0.25">
      <c r="A2936" t="str">
        <f>T("   701720")</f>
        <v xml:space="preserve">   701720</v>
      </c>
      <c r="B2936" t="s">
        <v>358</v>
      </c>
      <c r="C2936">
        <v>3823913</v>
      </c>
      <c r="D2936">
        <v>254</v>
      </c>
    </row>
    <row r="2937" spans="1:4" x14ac:dyDescent="0.25">
      <c r="A2937" t="str">
        <f>T("   701790")</f>
        <v xml:space="preserve">   701790</v>
      </c>
      <c r="B2937" t="s">
        <v>359</v>
      </c>
      <c r="C2937">
        <v>7563968</v>
      </c>
      <c r="D2937">
        <v>623</v>
      </c>
    </row>
    <row r="2938" spans="1:4" x14ac:dyDescent="0.25">
      <c r="A2938" t="str">
        <f>T("   721049")</f>
        <v xml:space="preserve">   721049</v>
      </c>
      <c r="B293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938">
        <v>102601058</v>
      </c>
      <c r="D2938">
        <v>180778</v>
      </c>
    </row>
    <row r="2939" spans="1:4" x14ac:dyDescent="0.25">
      <c r="A2939" t="str">
        <f>T("   721391")</f>
        <v xml:space="preserve">   721391</v>
      </c>
      <c r="B293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2939">
        <v>818893223</v>
      </c>
      <c r="D2939">
        <v>2558070</v>
      </c>
    </row>
    <row r="2940" spans="1:4" x14ac:dyDescent="0.25">
      <c r="A2940" t="str">
        <f>T("   721399")</f>
        <v xml:space="preserve">   721399</v>
      </c>
      <c r="B2940" t="s">
        <v>365</v>
      </c>
      <c r="C2940">
        <v>1258081230</v>
      </c>
      <c r="D2940">
        <v>3824100</v>
      </c>
    </row>
    <row r="2941" spans="1:4" x14ac:dyDescent="0.25">
      <c r="A2941" t="str">
        <f>T("   721661")</f>
        <v xml:space="preserve">   721661</v>
      </c>
      <c r="B2941"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2941">
        <v>8162110</v>
      </c>
      <c r="D2941">
        <v>729</v>
      </c>
    </row>
    <row r="2942" spans="1:4" x14ac:dyDescent="0.25">
      <c r="A2942" t="str">
        <f>T("   730490")</f>
        <v xml:space="preserve">   730490</v>
      </c>
      <c r="B2942" t="str">
        <f>T("   Tubes, tuyaux et profilés creux, sans soudure, de section autre que circulaire, en fer (à l'excl. de la fonte) ou en acier")</f>
        <v xml:space="preserve">   Tubes, tuyaux et profilés creux, sans soudure, de section autre que circulaire, en fer (à l'excl. de la fonte) ou en acier</v>
      </c>
      <c r="C2942">
        <v>24420347</v>
      </c>
      <c r="D2942">
        <v>159630</v>
      </c>
    </row>
    <row r="2943" spans="1:4" x14ac:dyDescent="0.25">
      <c r="A2943" t="str">
        <f>T("   730890")</f>
        <v xml:space="preserve">   730890</v>
      </c>
      <c r="B2943" t="s">
        <v>376</v>
      </c>
      <c r="C2943">
        <v>9008955</v>
      </c>
      <c r="D2943">
        <v>1438</v>
      </c>
    </row>
    <row r="2944" spans="1:4" x14ac:dyDescent="0.25">
      <c r="A2944" t="str">
        <f>T("   730900")</f>
        <v xml:space="preserve">   730900</v>
      </c>
      <c r="B2944" t="s">
        <v>377</v>
      </c>
      <c r="C2944">
        <v>693570</v>
      </c>
      <c r="D2944">
        <v>45</v>
      </c>
    </row>
    <row r="2945" spans="1:4" x14ac:dyDescent="0.25">
      <c r="A2945" t="str">
        <f>T("   731100")</f>
        <v xml:space="preserve">   731100</v>
      </c>
      <c r="B294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2945">
        <v>27111962</v>
      </c>
      <c r="D2945">
        <v>29990</v>
      </c>
    </row>
    <row r="2946" spans="1:4" x14ac:dyDescent="0.25">
      <c r="A2946" t="str">
        <f>T("   731512")</f>
        <v xml:space="preserve">   731512</v>
      </c>
      <c r="B2946" t="str">
        <f>T("   Chaînes à maillons articulés en fonte, fer ou acier (autres qu'à rouleaux)")</f>
        <v xml:space="preserve">   Chaînes à maillons articulés en fonte, fer ou acier (autres qu'à rouleaux)</v>
      </c>
      <c r="C2946">
        <v>583148</v>
      </c>
      <c r="D2946">
        <v>198</v>
      </c>
    </row>
    <row r="2947" spans="1:4" x14ac:dyDescent="0.25">
      <c r="A2947" t="str">
        <f>T("   731812")</f>
        <v xml:space="preserve">   731812</v>
      </c>
      <c r="B2947" t="str">
        <f>T("   Vis à bois en fonte, fer ou acier (autres que tire-fond)")</f>
        <v xml:space="preserve">   Vis à bois en fonte, fer ou acier (autres que tire-fond)</v>
      </c>
      <c r="C2947">
        <v>234178</v>
      </c>
      <c r="D2947">
        <v>685</v>
      </c>
    </row>
    <row r="2948" spans="1:4" x14ac:dyDescent="0.25">
      <c r="A2948" t="str">
        <f>T("   731815")</f>
        <v xml:space="preserve">   731815</v>
      </c>
      <c r="B2948" t="s">
        <v>380</v>
      </c>
      <c r="C2948">
        <v>25182788</v>
      </c>
      <c r="D2948">
        <v>4616.5</v>
      </c>
    </row>
    <row r="2949" spans="1:4" x14ac:dyDescent="0.25">
      <c r="A2949" t="str">
        <f>T("   731822")</f>
        <v xml:space="preserve">   731822</v>
      </c>
      <c r="B2949" t="str">
        <f>T("   Rondelles en fonte, fer ou acier (sauf rondelles destinées à faire ressort et autres rondelles de blocage)")</f>
        <v xml:space="preserve">   Rondelles en fonte, fer ou acier (sauf rondelles destinées à faire ressort et autres rondelles de blocage)</v>
      </c>
      <c r="C2949">
        <v>169124</v>
      </c>
      <c r="D2949">
        <v>39</v>
      </c>
    </row>
    <row r="2950" spans="1:4" x14ac:dyDescent="0.25">
      <c r="A2950" t="str">
        <f>T("   732090")</f>
        <v xml:space="preserve">   732090</v>
      </c>
      <c r="B2950" t="s">
        <v>381</v>
      </c>
      <c r="C2950">
        <v>1241888</v>
      </c>
      <c r="D2950">
        <v>5</v>
      </c>
    </row>
    <row r="2951" spans="1:4" x14ac:dyDescent="0.25">
      <c r="A2951" t="str">
        <f>T("   732394")</f>
        <v xml:space="preserve">   732394</v>
      </c>
      <c r="B2951" t="s">
        <v>389</v>
      </c>
      <c r="C2951">
        <v>7235927</v>
      </c>
      <c r="D2951">
        <v>2000</v>
      </c>
    </row>
    <row r="2952" spans="1:4" x14ac:dyDescent="0.25">
      <c r="A2952" t="str">
        <f>T("   732399")</f>
        <v xml:space="preserve">   732399</v>
      </c>
      <c r="B2952" t="s">
        <v>390</v>
      </c>
      <c r="C2952">
        <v>8248349</v>
      </c>
      <c r="D2952">
        <v>11755</v>
      </c>
    </row>
    <row r="2953" spans="1:4" x14ac:dyDescent="0.25">
      <c r="A2953" t="str">
        <f>T("   732620")</f>
        <v xml:space="preserve">   732620</v>
      </c>
      <c r="B2953" t="str">
        <f>T("   Ouvrages en fil de fer ou d'acier, n.d.a.")</f>
        <v xml:space="preserve">   Ouvrages en fil de fer ou d'acier, n.d.a.</v>
      </c>
      <c r="C2953">
        <v>739178</v>
      </c>
      <c r="D2953">
        <v>1423</v>
      </c>
    </row>
    <row r="2954" spans="1:4" x14ac:dyDescent="0.25">
      <c r="A2954" t="str">
        <f>T("   732690")</f>
        <v xml:space="preserve">   732690</v>
      </c>
      <c r="B295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954">
        <v>33368599</v>
      </c>
      <c r="D2954">
        <v>3946</v>
      </c>
    </row>
    <row r="2955" spans="1:4" x14ac:dyDescent="0.25">
      <c r="A2955" t="str">
        <f>T("   741110")</f>
        <v xml:space="preserve">   741110</v>
      </c>
      <c r="B2955" t="str">
        <f>T("   Tubes et tuyaux en cuivre affiné")</f>
        <v xml:space="preserve">   Tubes et tuyaux en cuivre affiné</v>
      </c>
      <c r="C2955">
        <v>33274227</v>
      </c>
      <c r="D2955">
        <v>2970</v>
      </c>
    </row>
    <row r="2956" spans="1:4" x14ac:dyDescent="0.25">
      <c r="A2956" t="str">
        <f>T("   741210")</f>
        <v xml:space="preserve">   741210</v>
      </c>
      <c r="B2956" t="str">
        <f>T("   Accessoires de tuyauterie -raccords, coudes, manchons, par exemple-, en cuivre affiné")</f>
        <v xml:space="preserve">   Accessoires de tuyauterie -raccords, coudes, manchons, par exemple-, en cuivre affiné</v>
      </c>
      <c r="C2956">
        <v>627754</v>
      </c>
      <c r="D2956">
        <v>56</v>
      </c>
    </row>
    <row r="2957" spans="1:4" x14ac:dyDescent="0.25">
      <c r="A2957" t="str">
        <f>T("   741220")</f>
        <v xml:space="preserve">   741220</v>
      </c>
      <c r="B2957" t="str">
        <f>T("   Accessoires de tuyauterie -raccords, coudes, manchons, par exemple-, en alliages de cuivre")</f>
        <v xml:space="preserve">   Accessoires de tuyauterie -raccords, coudes, manchons, par exemple-, en alliages de cuivre</v>
      </c>
      <c r="C2957">
        <v>447365</v>
      </c>
      <c r="D2957">
        <v>18</v>
      </c>
    </row>
    <row r="2958" spans="1:4" x14ac:dyDescent="0.25">
      <c r="A2958" t="str">
        <f>T("   761519")</f>
        <v xml:space="preserve">   761519</v>
      </c>
      <c r="B2958" t="s">
        <v>397</v>
      </c>
      <c r="C2958">
        <v>36000</v>
      </c>
      <c r="D2958">
        <v>100</v>
      </c>
    </row>
    <row r="2959" spans="1:4" x14ac:dyDescent="0.25">
      <c r="A2959" t="str">
        <f>T("   761520")</f>
        <v xml:space="preserve">   761520</v>
      </c>
      <c r="B2959"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2959">
        <v>479584</v>
      </c>
      <c r="D2959">
        <v>69</v>
      </c>
    </row>
    <row r="2960" spans="1:4" x14ac:dyDescent="0.25">
      <c r="A2960" t="str">
        <f>T("   761699")</f>
        <v xml:space="preserve">   761699</v>
      </c>
      <c r="B2960" t="str">
        <f>T("   Ouvrages en aluminium, n.d.a.")</f>
        <v xml:space="preserve">   Ouvrages en aluminium, n.d.a.</v>
      </c>
      <c r="C2960">
        <v>239785</v>
      </c>
      <c r="D2960">
        <v>810</v>
      </c>
    </row>
    <row r="2961" spans="1:4" x14ac:dyDescent="0.25">
      <c r="A2961" t="str">
        <f>T("   820291")</f>
        <v xml:space="preserve">   820291</v>
      </c>
      <c r="B2961" t="str">
        <f>T("   LAMES DE SCIES DROITES EN METAUX COMMUNS, POUR LE TRAVAIL DES METAUX")</f>
        <v xml:space="preserve">   LAMES DE SCIES DROITES EN METAUX COMMUNS, POUR LE TRAVAIL DES METAUX</v>
      </c>
      <c r="C2961">
        <v>506401</v>
      </c>
      <c r="D2961">
        <v>4513</v>
      </c>
    </row>
    <row r="2962" spans="1:4" x14ac:dyDescent="0.25">
      <c r="A2962" t="str">
        <f>T("   820540")</f>
        <v xml:space="preserve">   820540</v>
      </c>
      <c r="B2962" t="str">
        <f>T("   Tournevis à main")</f>
        <v xml:space="preserve">   Tournevis à main</v>
      </c>
      <c r="C2962">
        <v>68220</v>
      </c>
      <c r="D2962">
        <v>30</v>
      </c>
    </row>
    <row r="2963" spans="1:4" x14ac:dyDescent="0.25">
      <c r="A2963" t="str">
        <f>T("   820559")</f>
        <v xml:space="preserve">   820559</v>
      </c>
      <c r="B2963" t="str">
        <f>T("   Outils à main, y.c. -les diamants de vitrier-, en métaux communs, n.d.a.")</f>
        <v xml:space="preserve">   Outils à main, y.c. -les diamants de vitrier-, en métaux communs, n.d.a.</v>
      </c>
      <c r="C2963">
        <v>1207082</v>
      </c>
      <c r="D2963">
        <v>49</v>
      </c>
    </row>
    <row r="2964" spans="1:4" x14ac:dyDescent="0.25">
      <c r="A2964" t="str">
        <f>T("   820590")</f>
        <v xml:space="preserve">   820590</v>
      </c>
      <c r="B2964" t="str">
        <f>T("   Assortiments d'outils d'au moins deux des sous-positions du n° 8205")</f>
        <v xml:space="preserve">   Assortiments d'outils d'au moins deux des sous-positions du n° 8205</v>
      </c>
      <c r="C2964">
        <v>1903471</v>
      </c>
      <c r="D2964">
        <v>18</v>
      </c>
    </row>
    <row r="2965" spans="1:4" x14ac:dyDescent="0.25">
      <c r="A2965" t="str">
        <f>T("   820790")</f>
        <v xml:space="preserve">   820790</v>
      </c>
      <c r="B2965" t="str">
        <f>T("   Outils interchangeables pour outillage à main, mécanique ou non, ou pour machines-outils, n.d.a.")</f>
        <v xml:space="preserve">   Outils interchangeables pour outillage à main, mécanique ou non, ou pour machines-outils, n.d.a.</v>
      </c>
      <c r="C2965">
        <v>1132349</v>
      </c>
      <c r="D2965">
        <v>11</v>
      </c>
    </row>
    <row r="2966" spans="1:4" x14ac:dyDescent="0.25">
      <c r="A2966" t="str">
        <f>T("   830120")</f>
        <v xml:space="preserve">   830120</v>
      </c>
      <c r="B2966" t="str">
        <f>T("   Serrures des types utilisés pour véhicules automobiles, en métaux communs")</f>
        <v xml:space="preserve">   Serrures des types utilisés pour véhicules automobiles, en métaux communs</v>
      </c>
      <c r="C2966">
        <v>4589037</v>
      </c>
      <c r="D2966">
        <v>41</v>
      </c>
    </row>
    <row r="2967" spans="1:4" x14ac:dyDescent="0.25">
      <c r="A2967" t="str">
        <f>T("   830230")</f>
        <v xml:space="preserve">   830230</v>
      </c>
      <c r="B2967" t="str">
        <f>T("   Garnitures, ferrures et simil. en métaux communs, pour véhicules automobiles (sauf charnières et serrures)")</f>
        <v xml:space="preserve">   Garnitures, ferrures et simil. en métaux communs, pour véhicules automobiles (sauf charnières et serrures)</v>
      </c>
      <c r="C2967">
        <v>92609</v>
      </c>
      <c r="D2967">
        <v>1</v>
      </c>
    </row>
    <row r="2968" spans="1:4" x14ac:dyDescent="0.25">
      <c r="A2968" t="str">
        <f>T("   830250")</f>
        <v xml:space="preserve">   830250</v>
      </c>
      <c r="B2968" t="str">
        <f>T("   Patères, porte-chapeaux, supports et articles simil. en métaux communs")</f>
        <v xml:space="preserve">   Patères, porte-chapeaux, supports et articles simil. en métaux communs</v>
      </c>
      <c r="C2968">
        <v>315314</v>
      </c>
      <c r="D2968">
        <v>24.5</v>
      </c>
    </row>
    <row r="2969" spans="1:4" x14ac:dyDescent="0.25">
      <c r="A2969" t="str">
        <f>T("   830910")</f>
        <v xml:space="preserve">   830910</v>
      </c>
      <c r="B2969" t="str">
        <f>T("   Bouchons-couronnes en métaux communs")</f>
        <v xml:space="preserve">   Bouchons-couronnes en métaux communs</v>
      </c>
      <c r="C2969">
        <v>997445</v>
      </c>
      <c r="D2969">
        <v>108</v>
      </c>
    </row>
    <row r="2970" spans="1:4" x14ac:dyDescent="0.25">
      <c r="A2970" t="str">
        <f>T("   831000")</f>
        <v xml:space="preserve">   831000</v>
      </c>
      <c r="B2970" t="s">
        <v>408</v>
      </c>
      <c r="C2970">
        <v>54884173</v>
      </c>
      <c r="D2970">
        <v>10858</v>
      </c>
    </row>
    <row r="2971" spans="1:4" x14ac:dyDescent="0.25">
      <c r="A2971" t="str">
        <f>T("   831110")</f>
        <v xml:space="preserve">   831110</v>
      </c>
      <c r="B2971" t="str">
        <f>T("   ÉLECTRODES ENROBÉES EN MÉTAUX COMMUNS, POUR LE SOUDAGE À L'ARC")</f>
        <v xml:space="preserve">   ÉLECTRODES ENROBÉES EN MÉTAUX COMMUNS, POUR LE SOUDAGE À L'ARC</v>
      </c>
      <c r="C2971">
        <v>823230</v>
      </c>
      <c r="D2971">
        <v>55</v>
      </c>
    </row>
    <row r="2972" spans="1:4" x14ac:dyDescent="0.25">
      <c r="A2972" t="str">
        <f>T("   831190")</f>
        <v xml:space="preserve">   831190</v>
      </c>
      <c r="B2972" t="s">
        <v>410</v>
      </c>
      <c r="C2972">
        <v>546415</v>
      </c>
      <c r="D2972">
        <v>100</v>
      </c>
    </row>
    <row r="2973" spans="1:4" x14ac:dyDescent="0.25">
      <c r="A2973" t="str">
        <f>T("   840790")</f>
        <v xml:space="preserve">   840790</v>
      </c>
      <c r="B2973" t="s">
        <v>414</v>
      </c>
      <c r="C2973">
        <v>7871143</v>
      </c>
      <c r="D2973">
        <v>18577</v>
      </c>
    </row>
    <row r="2974" spans="1:4" x14ac:dyDescent="0.25">
      <c r="A2974" t="str">
        <f>T("   840890")</f>
        <v xml:space="preserve">   840890</v>
      </c>
      <c r="B2974" t="s">
        <v>416</v>
      </c>
      <c r="C2974">
        <v>3804194</v>
      </c>
      <c r="D2974">
        <v>10380</v>
      </c>
    </row>
    <row r="2975" spans="1:4" x14ac:dyDescent="0.25">
      <c r="A2975" t="str">
        <f>T("   840999")</f>
        <v xml:space="preserve">   840999</v>
      </c>
      <c r="B297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975">
        <v>5614035</v>
      </c>
      <c r="D2975">
        <v>556</v>
      </c>
    </row>
    <row r="2976" spans="1:4" x14ac:dyDescent="0.25">
      <c r="A2976" t="str">
        <f>T("   841231")</f>
        <v xml:space="preserve">   841231</v>
      </c>
      <c r="B2976" t="str">
        <f>T("   Moteurs pneumatiques, à mouvement rectiligne -cylindres-")</f>
        <v xml:space="preserve">   Moteurs pneumatiques, à mouvement rectiligne -cylindres-</v>
      </c>
      <c r="C2976">
        <v>379840</v>
      </c>
      <c r="D2976">
        <v>10</v>
      </c>
    </row>
    <row r="2977" spans="1:4" x14ac:dyDescent="0.25">
      <c r="A2977" t="str">
        <f>T("   841330")</f>
        <v xml:space="preserve">   841330</v>
      </c>
      <c r="B297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2977">
        <v>9493392</v>
      </c>
      <c r="D2977">
        <v>293</v>
      </c>
    </row>
    <row r="2978" spans="1:4" x14ac:dyDescent="0.25">
      <c r="A2978" t="str">
        <f>T("   841350")</f>
        <v xml:space="preserve">   841350</v>
      </c>
      <c r="B2978" t="s">
        <v>417</v>
      </c>
      <c r="C2978">
        <v>70394579</v>
      </c>
      <c r="D2978">
        <v>7786</v>
      </c>
    </row>
    <row r="2979" spans="1:4" x14ac:dyDescent="0.25">
      <c r="A2979" t="str">
        <f>T("   841370")</f>
        <v xml:space="preserve">   841370</v>
      </c>
      <c r="B2979" t="s">
        <v>419</v>
      </c>
      <c r="C2979">
        <v>6141069</v>
      </c>
      <c r="D2979">
        <v>105</v>
      </c>
    </row>
    <row r="2980" spans="1:4" x14ac:dyDescent="0.25">
      <c r="A2980" t="str">
        <f>T("   841381")</f>
        <v xml:space="preserve">   841381</v>
      </c>
      <c r="B2980" t="s">
        <v>420</v>
      </c>
      <c r="C2980">
        <v>31792396</v>
      </c>
      <c r="D2980">
        <v>2966</v>
      </c>
    </row>
    <row r="2981" spans="1:4" x14ac:dyDescent="0.25">
      <c r="A2981" t="str">
        <f>T("   841382")</f>
        <v xml:space="preserve">   841382</v>
      </c>
      <c r="B2981" t="str">
        <f>T("   Elévateurs à liquides (à l'excl. des pompes)")</f>
        <v xml:space="preserve">   Elévateurs à liquides (à l'excl. des pompes)</v>
      </c>
      <c r="C2981">
        <v>2205077</v>
      </c>
      <c r="D2981">
        <v>20</v>
      </c>
    </row>
    <row r="2982" spans="1:4" x14ac:dyDescent="0.25">
      <c r="A2982" t="str">
        <f>T("   841391")</f>
        <v xml:space="preserve">   841391</v>
      </c>
      <c r="B2982" t="str">
        <f>T("   Parties de pompes pour liquides, n.d.a.")</f>
        <v xml:space="preserve">   Parties de pompes pour liquides, n.d.a.</v>
      </c>
      <c r="C2982">
        <v>8264989</v>
      </c>
      <c r="D2982">
        <v>743</v>
      </c>
    </row>
    <row r="2983" spans="1:4" x14ac:dyDescent="0.25">
      <c r="A2983" t="str">
        <f>T("   841430")</f>
        <v xml:space="preserve">   841430</v>
      </c>
      <c r="B2983" t="str">
        <f>T("   Compresseurs des types utilisés pour équipements frigorifiques")</f>
        <v xml:space="preserve">   Compresseurs des types utilisés pour équipements frigorifiques</v>
      </c>
      <c r="C2983">
        <v>236145</v>
      </c>
      <c r="D2983">
        <v>167</v>
      </c>
    </row>
    <row r="2984" spans="1:4" x14ac:dyDescent="0.25">
      <c r="A2984" t="str">
        <f>T("   841440")</f>
        <v xml:space="preserve">   841440</v>
      </c>
      <c r="B2984" t="str">
        <f>T("   Compresseurs d'air montés sur châssis à roues et remorquables")</f>
        <v xml:space="preserve">   Compresseurs d'air montés sur châssis à roues et remorquables</v>
      </c>
      <c r="C2984">
        <v>50000</v>
      </c>
      <c r="D2984">
        <v>2000</v>
      </c>
    </row>
    <row r="2985" spans="1:4" x14ac:dyDescent="0.25">
      <c r="A2985" t="str">
        <f>T("   841459")</f>
        <v xml:space="preserve">   841459</v>
      </c>
      <c r="B298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985">
        <v>1505096</v>
      </c>
      <c r="D2985">
        <v>1995.5</v>
      </c>
    </row>
    <row r="2986" spans="1:4" x14ac:dyDescent="0.25">
      <c r="A2986" t="str">
        <f>T("   841490")</f>
        <v xml:space="preserve">   841490</v>
      </c>
      <c r="B2986"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986">
        <v>24378003</v>
      </c>
      <c r="D2986">
        <v>181</v>
      </c>
    </row>
    <row r="2987" spans="1:4" x14ac:dyDescent="0.25">
      <c r="A2987" t="str">
        <f>T("   841510")</f>
        <v xml:space="preserve">   841510</v>
      </c>
      <c r="B2987" t="s">
        <v>422</v>
      </c>
      <c r="C2987">
        <v>100000</v>
      </c>
      <c r="D2987">
        <v>250</v>
      </c>
    </row>
    <row r="2988" spans="1:4" x14ac:dyDescent="0.25">
      <c r="A2988" t="str">
        <f>T("   841583")</f>
        <v xml:space="preserve">   841583</v>
      </c>
      <c r="B2988" t="s">
        <v>425</v>
      </c>
      <c r="C2988">
        <v>655960</v>
      </c>
      <c r="D2988">
        <v>95</v>
      </c>
    </row>
    <row r="2989" spans="1:4" x14ac:dyDescent="0.25">
      <c r="A2989" t="str">
        <f>T("   841620")</f>
        <v xml:space="preserve">   841620</v>
      </c>
      <c r="B2989" t="str">
        <f>T("   Brûleurs pour l'alimentation des foyers à combustibles solides pulvérisés ou à gaz, y.c. les brûleurs mixtes")</f>
        <v xml:space="preserve">   Brûleurs pour l'alimentation des foyers à combustibles solides pulvérisés ou à gaz, y.c. les brûleurs mixtes</v>
      </c>
      <c r="C2989">
        <v>3560430</v>
      </c>
      <c r="D2989">
        <v>1030</v>
      </c>
    </row>
    <row r="2990" spans="1:4" x14ac:dyDescent="0.25">
      <c r="A2990" t="str">
        <f>T("   841810")</f>
        <v xml:space="preserve">   841810</v>
      </c>
      <c r="B2990" t="str">
        <f>T("   Réfrigérateurs et congélateurs-conservateurs combinés, avec portes extérieures séparées")</f>
        <v xml:space="preserve">   Réfrigérateurs et congélateurs-conservateurs combinés, avec portes extérieures séparées</v>
      </c>
      <c r="C2990">
        <v>617500</v>
      </c>
      <c r="D2990">
        <v>1850</v>
      </c>
    </row>
    <row r="2991" spans="1:4" x14ac:dyDescent="0.25">
      <c r="A2991" t="str">
        <f>T("   841829")</f>
        <v xml:space="preserve">   841829</v>
      </c>
      <c r="B2991" t="str">
        <f>T("   Réfrigérateurs ménagers à absorption, non-électriques")</f>
        <v xml:space="preserve">   Réfrigérateurs ménagers à absorption, non-électriques</v>
      </c>
      <c r="C2991">
        <v>11660075</v>
      </c>
      <c r="D2991">
        <v>59990</v>
      </c>
    </row>
    <row r="2992" spans="1:4" x14ac:dyDescent="0.25">
      <c r="A2992" t="str">
        <f>T("   841891")</f>
        <v xml:space="preserve">   841891</v>
      </c>
      <c r="B2992" t="str">
        <f>T("   Meubles conçus pour recevoir un équipement pour la production du froid")</f>
        <v xml:space="preserve">   Meubles conçus pour recevoir un équipement pour la production du froid</v>
      </c>
      <c r="C2992">
        <v>5378872</v>
      </c>
      <c r="D2992">
        <v>6300</v>
      </c>
    </row>
    <row r="2993" spans="1:4" x14ac:dyDescent="0.25">
      <c r="A2993" t="str">
        <f>T("   841899")</f>
        <v xml:space="preserve">   841899</v>
      </c>
      <c r="B299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993">
        <v>13579028</v>
      </c>
      <c r="D2993">
        <v>1873</v>
      </c>
    </row>
    <row r="2994" spans="1:4" x14ac:dyDescent="0.25">
      <c r="A2994" t="str">
        <f>T("   842121")</f>
        <v xml:space="preserve">   842121</v>
      </c>
      <c r="B2994" t="str">
        <f>T("   Appareils pour la filtration ou l'épuration des eaux")</f>
        <v xml:space="preserve">   Appareils pour la filtration ou l'épuration des eaux</v>
      </c>
      <c r="C2994">
        <v>7532942</v>
      </c>
      <c r="D2994">
        <v>792</v>
      </c>
    </row>
    <row r="2995" spans="1:4" x14ac:dyDescent="0.25">
      <c r="A2995" t="str">
        <f>T("   842123")</f>
        <v xml:space="preserve">   842123</v>
      </c>
      <c r="B2995"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995">
        <v>6500000</v>
      </c>
      <c r="D2995">
        <v>3904</v>
      </c>
    </row>
    <row r="2996" spans="1:4" x14ac:dyDescent="0.25">
      <c r="A2996" t="str">
        <f>T("   842129")</f>
        <v xml:space="preserve">   842129</v>
      </c>
      <c r="B299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996">
        <v>3563140</v>
      </c>
      <c r="D2996">
        <v>15</v>
      </c>
    </row>
    <row r="2997" spans="1:4" x14ac:dyDescent="0.25">
      <c r="A2997" t="str">
        <f>T("   842131")</f>
        <v xml:space="preserve">   842131</v>
      </c>
      <c r="B2997" t="str">
        <f>T("   Filtres d'entrée d'air pour moteurs à allumage par étincelles ou par compression")</f>
        <v xml:space="preserve">   Filtres d'entrée d'air pour moteurs à allumage par étincelles ou par compression</v>
      </c>
      <c r="C2997">
        <v>294626</v>
      </c>
      <c r="D2997">
        <v>40</v>
      </c>
    </row>
    <row r="2998" spans="1:4" x14ac:dyDescent="0.25">
      <c r="A2998" t="str">
        <f>T("   842139")</f>
        <v xml:space="preserve">   842139</v>
      </c>
      <c r="B299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2998">
        <v>7875631</v>
      </c>
      <c r="D2998">
        <v>83</v>
      </c>
    </row>
    <row r="2999" spans="1:4" x14ac:dyDescent="0.25">
      <c r="A2999" t="str">
        <f>T("   842199")</f>
        <v xml:space="preserve">   842199</v>
      </c>
      <c r="B2999" t="str">
        <f>T("   Parties d'appareils pour la filtration ou l'épuration des liquides ou des gaz, n.d.a.")</f>
        <v xml:space="preserve">   Parties d'appareils pour la filtration ou l'épuration des liquides ou des gaz, n.d.a.</v>
      </c>
      <c r="C2999">
        <v>1948857</v>
      </c>
      <c r="D2999">
        <v>629</v>
      </c>
    </row>
    <row r="3000" spans="1:4" x14ac:dyDescent="0.25">
      <c r="A3000" t="str">
        <f>T("   842290")</f>
        <v xml:space="preserve">   842290</v>
      </c>
      <c r="B3000"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000">
        <v>290177069</v>
      </c>
      <c r="D3000">
        <v>1554.25</v>
      </c>
    </row>
    <row r="3001" spans="1:4" x14ac:dyDescent="0.25">
      <c r="A3001" t="str">
        <f>T("   842310")</f>
        <v xml:space="preserve">   842310</v>
      </c>
      <c r="B3001" t="str">
        <f>T("   Pèse-personnes, y.c. les pèse-bébés; balances de ménage")</f>
        <v xml:space="preserve">   Pèse-personnes, y.c. les pèse-bébés; balances de ménage</v>
      </c>
      <c r="C3001">
        <v>1574632</v>
      </c>
      <c r="D3001">
        <v>735</v>
      </c>
    </row>
    <row r="3002" spans="1:4" x14ac:dyDescent="0.25">
      <c r="A3002" t="str">
        <f>T("   842330")</f>
        <v xml:space="preserve">   842330</v>
      </c>
      <c r="B3002"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3002">
        <v>2018842</v>
      </c>
      <c r="D3002">
        <v>30</v>
      </c>
    </row>
    <row r="3003" spans="1:4" x14ac:dyDescent="0.25">
      <c r="A3003" t="str">
        <f>T("   842420")</f>
        <v xml:space="preserve">   842420</v>
      </c>
      <c r="B3003" t="s">
        <v>430</v>
      </c>
      <c r="C3003">
        <v>59041</v>
      </c>
      <c r="D3003">
        <v>1</v>
      </c>
    </row>
    <row r="3004" spans="1:4" x14ac:dyDescent="0.25">
      <c r="A3004" t="str">
        <f>T("   842489")</f>
        <v xml:space="preserve">   842489</v>
      </c>
      <c r="B3004"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3004">
        <v>4140294</v>
      </c>
      <c r="D3004">
        <v>159.47999999999999</v>
      </c>
    </row>
    <row r="3005" spans="1:4" x14ac:dyDescent="0.25">
      <c r="A3005" t="str">
        <f>T("   842490")</f>
        <v xml:space="preserve">   842490</v>
      </c>
      <c r="B3005" t="s">
        <v>432</v>
      </c>
      <c r="C3005">
        <v>1585272</v>
      </c>
      <c r="D3005">
        <v>59</v>
      </c>
    </row>
    <row r="3006" spans="1:4" x14ac:dyDescent="0.25">
      <c r="A3006" t="str">
        <f>T("   842511")</f>
        <v xml:space="preserve">   842511</v>
      </c>
      <c r="B3006" t="str">
        <f>T("   Palans à moteur électrique")</f>
        <v xml:space="preserve">   Palans à moteur électrique</v>
      </c>
      <c r="C3006">
        <v>16624650</v>
      </c>
      <c r="D3006">
        <v>1385</v>
      </c>
    </row>
    <row r="3007" spans="1:4" x14ac:dyDescent="0.25">
      <c r="A3007" t="str">
        <f>T("   842542")</f>
        <v xml:space="preserve">   842542</v>
      </c>
      <c r="B3007" t="str">
        <f>T("   Crics et vérins, hydrauliques (sauf élévateurs fixes des types utilisés dans les garages pour voitures)")</f>
        <v xml:space="preserve">   Crics et vérins, hydrauliques (sauf élévateurs fixes des types utilisés dans les garages pour voitures)</v>
      </c>
      <c r="C3007">
        <v>713684</v>
      </c>
      <c r="D3007">
        <v>3</v>
      </c>
    </row>
    <row r="3008" spans="1:4" x14ac:dyDescent="0.25">
      <c r="A3008" t="str">
        <f>T("   842691")</f>
        <v xml:space="preserve">   842691</v>
      </c>
      <c r="B3008" t="str">
        <f>T("   Grues conçues pour être montées sur un véhicule routier")</f>
        <v xml:space="preserve">   Grues conçues pour être montées sur un véhicule routier</v>
      </c>
      <c r="C3008">
        <v>8395632</v>
      </c>
      <c r="D3008">
        <v>1600</v>
      </c>
    </row>
    <row r="3009" spans="1:4" x14ac:dyDescent="0.25">
      <c r="A3009" t="str">
        <f>T("   842839")</f>
        <v xml:space="preserve">   842839</v>
      </c>
      <c r="B3009"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3009">
        <v>561992</v>
      </c>
      <c r="D3009">
        <v>55</v>
      </c>
    </row>
    <row r="3010" spans="1:4" x14ac:dyDescent="0.25">
      <c r="A3010" t="str">
        <f>T("   842890")</f>
        <v xml:space="preserve">   842890</v>
      </c>
      <c r="B3010" t="str">
        <f>T("   Machines et appareils de levage, chargement, déchargement ou manutention, n.d.a.")</f>
        <v xml:space="preserve">   Machines et appareils de levage, chargement, déchargement ou manutention, n.d.a.</v>
      </c>
      <c r="C3010">
        <v>779257520</v>
      </c>
      <c r="D3010">
        <v>123464</v>
      </c>
    </row>
    <row r="3011" spans="1:4" x14ac:dyDescent="0.25">
      <c r="A3011" t="str">
        <f>T("   842951")</f>
        <v xml:space="preserve">   842951</v>
      </c>
      <c r="B3011" t="str">
        <f>T("   Chargeuses et chargeuses-pelleteuses, à chargement frontal, autopropulsées")</f>
        <v xml:space="preserve">   Chargeuses et chargeuses-pelleteuses, à chargement frontal, autopropulsées</v>
      </c>
      <c r="C3011">
        <v>223522961</v>
      </c>
      <c r="D3011">
        <v>38200</v>
      </c>
    </row>
    <row r="3012" spans="1:4" x14ac:dyDescent="0.25">
      <c r="A3012" t="str">
        <f>T("   843049")</f>
        <v xml:space="preserve">   843049</v>
      </c>
      <c r="B3012"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3012">
        <v>48541040</v>
      </c>
      <c r="D3012">
        <v>1700</v>
      </c>
    </row>
    <row r="3013" spans="1:4" x14ac:dyDescent="0.25">
      <c r="A3013" t="str">
        <f>T("   843069")</f>
        <v xml:space="preserve">   843069</v>
      </c>
      <c r="B3013"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3013">
        <v>48016272</v>
      </c>
      <c r="D3013">
        <v>69342</v>
      </c>
    </row>
    <row r="3014" spans="1:4" x14ac:dyDescent="0.25">
      <c r="A3014" t="str">
        <f>T("   843139")</f>
        <v xml:space="preserve">   843139</v>
      </c>
      <c r="B3014" t="str">
        <f>T("   Parties de machines et appareils du n° 8428, n.d.a.")</f>
        <v xml:space="preserve">   Parties de machines et appareils du n° 8428, n.d.a.</v>
      </c>
      <c r="C3014">
        <v>24800520</v>
      </c>
      <c r="D3014">
        <v>2630</v>
      </c>
    </row>
    <row r="3015" spans="1:4" x14ac:dyDescent="0.25">
      <c r="A3015" t="str">
        <f>T("   843149")</f>
        <v xml:space="preserve">   843149</v>
      </c>
      <c r="B3015" t="str">
        <f>T("   Parties de machines et appareils du n° 8426, 8429 ou 8430, n.d.a.")</f>
        <v xml:space="preserve">   Parties de machines et appareils du n° 8426, 8429 ou 8430, n.d.a.</v>
      </c>
      <c r="C3015">
        <v>25851389</v>
      </c>
      <c r="D3015">
        <v>1060.7</v>
      </c>
    </row>
    <row r="3016" spans="1:4" x14ac:dyDescent="0.25">
      <c r="A3016" t="str">
        <f>T("   843621")</f>
        <v xml:space="preserve">   843621</v>
      </c>
      <c r="B3016" t="str">
        <f>T("   Couveuses et éleveuses pour l'aviculture")</f>
        <v xml:space="preserve">   Couveuses et éleveuses pour l'aviculture</v>
      </c>
      <c r="C3016">
        <v>803551</v>
      </c>
      <c r="D3016">
        <v>180</v>
      </c>
    </row>
    <row r="3017" spans="1:4" x14ac:dyDescent="0.25">
      <c r="A3017" t="str">
        <f>T("   843790")</f>
        <v xml:space="preserve">   843790</v>
      </c>
      <c r="B3017"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3017">
        <v>699253</v>
      </c>
      <c r="D3017">
        <v>126</v>
      </c>
    </row>
    <row r="3018" spans="1:4" x14ac:dyDescent="0.25">
      <c r="A3018" t="str">
        <f>T("   843810")</f>
        <v xml:space="preserve">   843810</v>
      </c>
      <c r="B3018" t="s">
        <v>440</v>
      </c>
      <c r="C3018">
        <v>3581542</v>
      </c>
      <c r="D3018">
        <v>6500</v>
      </c>
    </row>
    <row r="3019" spans="1:4" x14ac:dyDescent="0.25">
      <c r="A3019" t="str">
        <f>T("   843890")</f>
        <v xml:space="preserve">   843890</v>
      </c>
      <c r="B3019"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3019">
        <v>4973065</v>
      </c>
      <c r="D3019">
        <v>124</v>
      </c>
    </row>
    <row r="3020" spans="1:4" x14ac:dyDescent="0.25">
      <c r="A3020" t="str">
        <f>T("   844190")</f>
        <v xml:space="preserve">   844190</v>
      </c>
      <c r="B3020" t="str">
        <f>T("   Parties de machines et appareils pour le travail de la pâte à papier, du papier ou du carton, n.d.a.")</f>
        <v xml:space="preserve">   Parties de machines et appareils pour le travail de la pâte à papier, du papier ou du carton, n.d.a.</v>
      </c>
      <c r="C3020">
        <v>8239513</v>
      </c>
      <c r="D3020">
        <v>1274</v>
      </c>
    </row>
    <row r="3021" spans="1:4" x14ac:dyDescent="0.25">
      <c r="A3021" t="str">
        <f>T("   844230")</f>
        <v xml:space="preserve">   844230</v>
      </c>
      <c r="B3021" t="s">
        <v>442</v>
      </c>
      <c r="C3021">
        <v>17571856</v>
      </c>
      <c r="D3021">
        <v>560</v>
      </c>
    </row>
    <row r="3022" spans="1:4" x14ac:dyDescent="0.25">
      <c r="A3022" t="str">
        <f>T("   844319")</f>
        <v xml:space="preserve">   844319</v>
      </c>
      <c r="B3022" t="s">
        <v>443</v>
      </c>
      <c r="C3022">
        <v>19916</v>
      </c>
      <c r="D3022">
        <v>30</v>
      </c>
    </row>
    <row r="3023" spans="1:4" x14ac:dyDescent="0.25">
      <c r="A3023" t="str">
        <f>T("   844339")</f>
        <v xml:space="preserve">   844339</v>
      </c>
      <c r="B3023" t="s">
        <v>444</v>
      </c>
      <c r="C3023">
        <v>5421837</v>
      </c>
      <c r="D3023">
        <v>15950</v>
      </c>
    </row>
    <row r="3024" spans="1:4" x14ac:dyDescent="0.25">
      <c r="A3024" t="str">
        <f>T("   844391")</f>
        <v xml:space="preserve">   844391</v>
      </c>
      <c r="B3024"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3024">
        <v>415223</v>
      </c>
      <c r="D3024">
        <v>55</v>
      </c>
    </row>
    <row r="3025" spans="1:4" x14ac:dyDescent="0.25">
      <c r="A3025" t="str">
        <f>T("   844399")</f>
        <v xml:space="preserve">   844399</v>
      </c>
      <c r="B3025" t="str">
        <f>T("   PARTIES ET ACCESSOIRES D'IMPRIMANTES, DE MACHINES À COPIER ET DE MACHINES À TÉLÉCOPIER, N.D.A. (À L'EXCL. DE MACHINES ET D'APPAREILS SERVANT À L'IMPRESSION AU MOYEN DE PLANCHES, CYLINDRES ET AUTRES ORGANES IMPRIMANTS DU N° 8442)")</f>
        <v xml:space="preserve">   PARTIES ET ACCESSOIRES D'IMPRIMANTES, DE MACHINES À COPIER ET DE MACHINES À TÉLÉCOPIER, N.D.A. (À L'EXCL. DE MACHINES ET D'APPAREILS SERVANT À L'IMPRESSION AU MOYEN DE PLANCHES, CYLINDRES ET AUTRES ORGANES IMPRIMANTS DU N° 8442)</v>
      </c>
      <c r="C3025">
        <v>507854</v>
      </c>
      <c r="D3025">
        <v>703</v>
      </c>
    </row>
    <row r="3026" spans="1:4" x14ac:dyDescent="0.25">
      <c r="A3026" t="str">
        <f>T("   844519")</f>
        <v xml:space="preserve">   844519</v>
      </c>
      <c r="B3026" t="str">
        <f>T("   MACHINES POUR LA PRÉPARATION DES MATIÈRES TEXTILES (AUTRES QUE CARDÉS, PEIGNEUSES ET BANCS À BROCHES)")</f>
        <v xml:space="preserve">   MACHINES POUR LA PRÉPARATION DES MATIÈRES TEXTILES (AUTRES QUE CARDÉS, PEIGNEUSES ET BANCS À BROCHES)</v>
      </c>
      <c r="C3026">
        <v>4068806</v>
      </c>
      <c r="D3026">
        <v>191</v>
      </c>
    </row>
    <row r="3027" spans="1:4" x14ac:dyDescent="0.25">
      <c r="A3027" t="str">
        <f>T("   844820")</f>
        <v xml:space="preserve">   844820</v>
      </c>
      <c r="B3027"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3027">
        <v>18287720</v>
      </c>
      <c r="D3027">
        <v>859</v>
      </c>
    </row>
    <row r="3028" spans="1:4" x14ac:dyDescent="0.25">
      <c r="A3028" t="str">
        <f>T("   845020")</f>
        <v xml:space="preserve">   845020</v>
      </c>
      <c r="B3028" t="str">
        <f>T("   Machines à laver le linge, capacité unitaire en poids de linge sec &gt; 10 kg")</f>
        <v xml:space="preserve">   Machines à laver le linge, capacité unitaire en poids de linge sec &gt; 10 kg</v>
      </c>
      <c r="C3028">
        <v>1944924</v>
      </c>
      <c r="D3028">
        <v>400</v>
      </c>
    </row>
    <row r="3029" spans="1:4" x14ac:dyDescent="0.25">
      <c r="A3029" t="str">
        <f>T("   845110")</f>
        <v xml:space="preserve">   845110</v>
      </c>
      <c r="B3029" t="str">
        <f>T("   Machines pour le nettoyage à sec de matières textiles")</f>
        <v xml:space="preserve">   Machines pour le nettoyage à sec de matières textiles</v>
      </c>
      <c r="C3029">
        <v>823263</v>
      </c>
      <c r="D3029">
        <v>375</v>
      </c>
    </row>
    <row r="3030" spans="1:4" x14ac:dyDescent="0.25">
      <c r="A3030" t="str">
        <f>T("   845130")</f>
        <v xml:space="preserve">   845130</v>
      </c>
      <c r="B3030" t="str">
        <f>T("   Machines et presses à repasser, y.c. les presses à fixer (à l'excl. des calandres à catir ou à repasser)")</f>
        <v xml:space="preserve">   Machines et presses à repasser, y.c. les presses à fixer (à l'excl. des calandres à catir ou à repasser)</v>
      </c>
      <c r="C3030">
        <v>426285</v>
      </c>
      <c r="D3030">
        <v>450</v>
      </c>
    </row>
    <row r="3031" spans="1:4" x14ac:dyDescent="0.25">
      <c r="A3031" t="str">
        <f>T("   845180")</f>
        <v xml:space="preserve">   845180</v>
      </c>
      <c r="B3031" t="s">
        <v>447</v>
      </c>
      <c r="C3031">
        <v>2173890</v>
      </c>
      <c r="D3031">
        <v>3900</v>
      </c>
    </row>
    <row r="3032" spans="1:4" x14ac:dyDescent="0.25">
      <c r="A3032" t="str">
        <f>T("   845210")</f>
        <v xml:space="preserve">   845210</v>
      </c>
      <c r="B3032" t="str">
        <f>T("   Machines à coudre de type ménager")</f>
        <v xml:space="preserve">   Machines à coudre de type ménager</v>
      </c>
      <c r="C3032">
        <v>90000</v>
      </c>
      <c r="D3032">
        <v>144</v>
      </c>
    </row>
    <row r="3033" spans="1:4" x14ac:dyDescent="0.25">
      <c r="A3033" t="str">
        <f>T("   845229")</f>
        <v xml:space="preserve">   845229</v>
      </c>
      <c r="B3033" t="str">
        <f>T("   Machines à coudre de type industriel (sauf unités automatiques)")</f>
        <v xml:space="preserve">   Machines à coudre de type industriel (sauf unités automatiques)</v>
      </c>
      <c r="C3033">
        <v>348971</v>
      </c>
      <c r="D3033">
        <v>3112</v>
      </c>
    </row>
    <row r="3034" spans="1:4" x14ac:dyDescent="0.25">
      <c r="A3034" t="str">
        <f>T("   846150")</f>
        <v xml:space="preserve">   846150</v>
      </c>
      <c r="B3034" t="str">
        <f>T("   Machines à scier ou à tronçonner, pour le travail des métaux (autres que l'outillage à main)")</f>
        <v xml:space="preserve">   Machines à scier ou à tronçonner, pour le travail des métaux (autres que l'outillage à main)</v>
      </c>
      <c r="C3034">
        <v>71625</v>
      </c>
      <c r="D3034">
        <v>1000</v>
      </c>
    </row>
    <row r="3035" spans="1:4" x14ac:dyDescent="0.25">
      <c r="A3035" t="str">
        <f>T("   846190")</f>
        <v xml:space="preserve">   846190</v>
      </c>
      <c r="B3035" t="str">
        <f>T("   Machines à raboter et autres machines-outils travaillant par enlèvement de métal, n.d.a.")</f>
        <v xml:space="preserve">   Machines à raboter et autres machines-outils travaillant par enlèvement de métal, n.d.a.</v>
      </c>
      <c r="C3035">
        <v>944582</v>
      </c>
      <c r="D3035">
        <v>560</v>
      </c>
    </row>
    <row r="3036" spans="1:4" x14ac:dyDescent="0.25">
      <c r="A3036" t="str">
        <f>T("   846591")</f>
        <v xml:space="preserve">   846591</v>
      </c>
      <c r="B3036" t="str">
        <f>T("   Machines à scier, pour le travail du bois, des matières plastiques dures, etc. (autres que pour emploi à la main)")</f>
        <v xml:space="preserve">   Machines à scier, pour le travail du bois, des matières plastiques dures, etc. (autres que pour emploi à la main)</v>
      </c>
      <c r="C3036">
        <v>18954677</v>
      </c>
      <c r="D3036">
        <v>32263</v>
      </c>
    </row>
    <row r="3037" spans="1:4" x14ac:dyDescent="0.25">
      <c r="A3037" t="str">
        <f>T("   846599")</f>
        <v xml:space="preserve">   846599</v>
      </c>
      <c r="B3037" t="s">
        <v>455</v>
      </c>
      <c r="C3037">
        <v>100362</v>
      </c>
      <c r="D3037">
        <v>300</v>
      </c>
    </row>
    <row r="3038" spans="1:4" x14ac:dyDescent="0.25">
      <c r="A3038" t="str">
        <f>T("   846630")</f>
        <v xml:space="preserve">   846630</v>
      </c>
      <c r="B3038" t="str">
        <f>T("   Dispositifs diviseurs et autres dispositifs spéciaux se montant sur machines-outils, n.d.a.")</f>
        <v xml:space="preserve">   Dispositifs diviseurs et autres dispositifs spéciaux se montant sur machines-outils, n.d.a.</v>
      </c>
      <c r="C3038">
        <v>30000</v>
      </c>
      <c r="D3038">
        <v>2</v>
      </c>
    </row>
    <row r="3039" spans="1:4" x14ac:dyDescent="0.25">
      <c r="A3039" t="str">
        <f>T("   846691")</f>
        <v xml:space="preserve">   846691</v>
      </c>
      <c r="B3039"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3039">
        <v>4735244</v>
      </c>
      <c r="D3039">
        <v>30</v>
      </c>
    </row>
    <row r="3040" spans="1:4" x14ac:dyDescent="0.25">
      <c r="A3040" t="str">
        <f>T("   846693")</f>
        <v xml:space="preserve">   846693</v>
      </c>
      <c r="B3040" t="str">
        <f>T("   Parties et accessoires pour machines-outils pour le travail du métal avec enlèvement de métal, n.d.a.")</f>
        <v xml:space="preserve">   Parties et accessoires pour machines-outils pour le travail du métal avec enlèvement de métal, n.d.a.</v>
      </c>
      <c r="C3040">
        <v>613014</v>
      </c>
      <c r="D3040">
        <v>18</v>
      </c>
    </row>
    <row r="3041" spans="1:4" x14ac:dyDescent="0.25">
      <c r="A3041" t="str">
        <f>T("   846694")</f>
        <v xml:space="preserve">   846694</v>
      </c>
      <c r="B3041" t="str">
        <f>T("   Parties et accessoires pour machines-outils pour le travail du métal avec enlèvement de matière, n.d.a.")</f>
        <v xml:space="preserve">   Parties et accessoires pour machines-outils pour le travail du métal avec enlèvement de matière, n.d.a.</v>
      </c>
      <c r="C3041">
        <v>6603189</v>
      </c>
      <c r="D3041">
        <v>34.6</v>
      </c>
    </row>
    <row r="3042" spans="1:4" x14ac:dyDescent="0.25">
      <c r="A3042" t="str">
        <f>T("   846719")</f>
        <v xml:space="preserve">   846719</v>
      </c>
      <c r="B3042"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3042">
        <v>150215</v>
      </c>
      <c r="D3042">
        <v>105</v>
      </c>
    </row>
    <row r="3043" spans="1:4" x14ac:dyDescent="0.25">
      <c r="A3043" t="str">
        <f>T("   847050")</f>
        <v xml:space="preserve">   847050</v>
      </c>
      <c r="B3043" t="str">
        <f>T("   Caisses enregistreuses comportant un dispositif de calcul")</f>
        <v xml:space="preserve">   Caisses enregistreuses comportant un dispositif de calcul</v>
      </c>
      <c r="C3043">
        <v>583148</v>
      </c>
      <c r="D3043">
        <v>13.2</v>
      </c>
    </row>
    <row r="3044" spans="1:4" x14ac:dyDescent="0.25">
      <c r="A3044" t="str">
        <f>T("   847130")</f>
        <v xml:space="preserve">   847130</v>
      </c>
      <c r="B304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044">
        <v>22730634</v>
      </c>
      <c r="D3044">
        <v>911.2</v>
      </c>
    </row>
    <row r="3045" spans="1:4" x14ac:dyDescent="0.25">
      <c r="A3045" t="str">
        <f>T("   847149")</f>
        <v xml:space="preserve">   847149</v>
      </c>
      <c r="B3045" t="s">
        <v>459</v>
      </c>
      <c r="C3045">
        <v>107774</v>
      </c>
      <c r="D3045">
        <v>2</v>
      </c>
    </row>
    <row r="3046" spans="1:4" x14ac:dyDescent="0.25">
      <c r="A3046" t="str">
        <f>T("   847150")</f>
        <v xml:space="preserve">   847150</v>
      </c>
      <c r="B3046" t="s">
        <v>460</v>
      </c>
      <c r="C3046">
        <v>15648582</v>
      </c>
      <c r="D3046">
        <v>760</v>
      </c>
    </row>
    <row r="3047" spans="1:4" x14ac:dyDescent="0.25">
      <c r="A3047" t="str">
        <f>T("   847170")</f>
        <v xml:space="preserve">   847170</v>
      </c>
      <c r="B3047" t="str">
        <f>T("   UNITÉS DE MÉMOIRE POUR MACHINES AUTOMATIQUES DE TRAITEMENT DE L'INFORMATION")</f>
        <v xml:space="preserve">   UNITÉS DE MÉMOIRE POUR MACHINES AUTOMATIQUES DE TRAITEMENT DE L'INFORMATION</v>
      </c>
      <c r="C3047">
        <v>22959</v>
      </c>
      <c r="D3047">
        <v>5</v>
      </c>
    </row>
    <row r="3048" spans="1:4" x14ac:dyDescent="0.25">
      <c r="A3048" t="str">
        <f>T("   847180")</f>
        <v xml:space="preserve">   847180</v>
      </c>
      <c r="B304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048">
        <v>5239403</v>
      </c>
      <c r="D3048">
        <v>295.5</v>
      </c>
    </row>
    <row r="3049" spans="1:4" x14ac:dyDescent="0.25">
      <c r="A3049" t="str">
        <f>T("   847190")</f>
        <v xml:space="preserve">   847190</v>
      </c>
      <c r="B304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049">
        <v>6320547</v>
      </c>
      <c r="D3049">
        <v>10210.299999999999</v>
      </c>
    </row>
    <row r="3050" spans="1:4" x14ac:dyDescent="0.25">
      <c r="A3050" t="str">
        <f>T("   847290")</f>
        <v xml:space="preserve">   847290</v>
      </c>
      <c r="B3050" t="str">
        <f>T("   Machines et appareils de bureau, n.d.a.")</f>
        <v xml:space="preserve">   Machines et appareils de bureau, n.d.a.</v>
      </c>
      <c r="C3050">
        <v>14833153</v>
      </c>
      <c r="D3050">
        <v>2490</v>
      </c>
    </row>
    <row r="3051" spans="1:4" x14ac:dyDescent="0.25">
      <c r="A3051" t="str">
        <f>T("   847350")</f>
        <v xml:space="preserve">   847350</v>
      </c>
      <c r="B3051"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3051">
        <v>41624</v>
      </c>
      <c r="D3051">
        <v>8.5</v>
      </c>
    </row>
    <row r="3052" spans="1:4" x14ac:dyDescent="0.25">
      <c r="A3052" t="str">
        <f>T("   847490")</f>
        <v xml:space="preserve">   847490</v>
      </c>
      <c r="B3052" t="str">
        <f>T("   Parties des machines et appareils pour le travail des matières minérales du n° 8474, n.d.a.")</f>
        <v xml:space="preserve">   Parties des machines et appareils pour le travail des matières minérales du n° 8474, n.d.a.</v>
      </c>
      <c r="C3052">
        <v>236192779</v>
      </c>
      <c r="D3052">
        <v>37772</v>
      </c>
    </row>
    <row r="3053" spans="1:4" x14ac:dyDescent="0.25">
      <c r="A3053" t="str">
        <f>T("   847790")</f>
        <v xml:space="preserve">   847790</v>
      </c>
      <c r="B3053"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053">
        <v>2996006</v>
      </c>
      <c r="D3053">
        <v>90</v>
      </c>
    </row>
    <row r="3054" spans="1:4" x14ac:dyDescent="0.25">
      <c r="A3054" t="str">
        <f>T("   847982")</f>
        <v xml:space="preserve">   847982</v>
      </c>
      <c r="B3054"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3054">
        <v>83135714</v>
      </c>
      <c r="D3054">
        <v>791</v>
      </c>
    </row>
    <row r="3055" spans="1:4" x14ac:dyDescent="0.25">
      <c r="A3055" t="str">
        <f>T("   847989")</f>
        <v xml:space="preserve">   847989</v>
      </c>
      <c r="B3055" t="str">
        <f>T("   Machines et appareils, y.c. les appareils mécaniques, n.d.a.")</f>
        <v xml:space="preserve">   Machines et appareils, y.c. les appareils mécaniques, n.d.a.</v>
      </c>
      <c r="C3055">
        <v>645048106</v>
      </c>
      <c r="D3055">
        <v>35481</v>
      </c>
    </row>
    <row r="3056" spans="1:4" x14ac:dyDescent="0.25">
      <c r="A3056" t="str">
        <f>T("   847990")</f>
        <v xml:space="preserve">   847990</v>
      </c>
      <c r="B3056" t="str">
        <f>T("   Parties de machines et appareils, y.c. les appareils mécaniques, n.d.a.")</f>
        <v xml:space="preserve">   Parties de machines et appareils, y.c. les appareils mécaniques, n.d.a.</v>
      </c>
      <c r="C3056">
        <v>15600460</v>
      </c>
      <c r="D3056">
        <v>2656</v>
      </c>
    </row>
    <row r="3057" spans="1:4" x14ac:dyDescent="0.25">
      <c r="A3057" t="str">
        <f>T("   848120")</f>
        <v xml:space="preserve">   848120</v>
      </c>
      <c r="B3057" t="str">
        <f>T("   Valves pour transmissions oléohydrauliques ou pneumatiques")</f>
        <v xml:space="preserve">   Valves pour transmissions oléohydrauliques ou pneumatiques</v>
      </c>
      <c r="C3057">
        <v>3355308</v>
      </c>
      <c r="D3057">
        <v>76.75</v>
      </c>
    </row>
    <row r="3058" spans="1:4" x14ac:dyDescent="0.25">
      <c r="A3058" t="str">
        <f>T("   848130")</f>
        <v xml:space="preserve">   848130</v>
      </c>
      <c r="B3058" t="str">
        <f>T("   Clapets et soupapes de retenue, pour tuyauteries, chaudières, réservoirs, cuves ou contenants simil.")</f>
        <v xml:space="preserve">   Clapets et soupapes de retenue, pour tuyauteries, chaudières, réservoirs, cuves ou contenants simil.</v>
      </c>
      <c r="C3058">
        <v>2298698</v>
      </c>
      <c r="D3058">
        <v>4</v>
      </c>
    </row>
    <row r="3059" spans="1:4" x14ac:dyDescent="0.25">
      <c r="A3059" t="str">
        <f>T("   848140")</f>
        <v xml:space="preserve">   848140</v>
      </c>
      <c r="B3059" t="str">
        <f>T("   Soupapes de trop-plein ou de sûreté")</f>
        <v xml:space="preserve">   Soupapes de trop-plein ou de sûreté</v>
      </c>
      <c r="C3059">
        <v>13250874</v>
      </c>
      <c r="D3059">
        <v>81</v>
      </c>
    </row>
    <row r="3060" spans="1:4" x14ac:dyDescent="0.25">
      <c r="A3060" t="str">
        <f>T("   848180")</f>
        <v xml:space="preserve">   848180</v>
      </c>
      <c r="B306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060">
        <v>69845139</v>
      </c>
      <c r="D3060">
        <v>2859.22</v>
      </c>
    </row>
    <row r="3061" spans="1:4" x14ac:dyDescent="0.25">
      <c r="A3061" t="str">
        <f>T("   848190")</f>
        <v xml:space="preserve">   848190</v>
      </c>
      <c r="B3061" t="str">
        <f>T("   Parties d'articles de robinetterie et organes simil. pour tuyauterie, etc., n.d.a.")</f>
        <v xml:space="preserve">   Parties d'articles de robinetterie et organes simil. pour tuyauterie, etc., n.d.a.</v>
      </c>
      <c r="C3061">
        <v>3340041</v>
      </c>
      <c r="D3061">
        <v>28</v>
      </c>
    </row>
    <row r="3062" spans="1:4" x14ac:dyDescent="0.25">
      <c r="A3062" t="str">
        <f>T("   848210")</f>
        <v xml:space="preserve">   848210</v>
      </c>
      <c r="B3062" t="str">
        <f>T("   Roulements à billes")</f>
        <v xml:space="preserve">   Roulements à billes</v>
      </c>
      <c r="C3062">
        <v>101475</v>
      </c>
      <c r="D3062">
        <v>1</v>
      </c>
    </row>
    <row r="3063" spans="1:4" x14ac:dyDescent="0.25">
      <c r="A3063" t="str">
        <f>T("   848280")</f>
        <v xml:space="preserve">   848280</v>
      </c>
      <c r="B3063" t="s">
        <v>467</v>
      </c>
      <c r="C3063">
        <v>6092619</v>
      </c>
      <c r="D3063">
        <v>65.25</v>
      </c>
    </row>
    <row r="3064" spans="1:4" x14ac:dyDescent="0.25">
      <c r="A3064" t="str">
        <f>T("   848310")</f>
        <v xml:space="preserve">   848310</v>
      </c>
      <c r="B3064" t="str">
        <f>T("   Arbres de transmission pour machines, y.c. -les arbres à cames et les vilebrequins- et manivelles")</f>
        <v xml:space="preserve">   Arbres de transmission pour machines, y.c. -les arbres à cames et les vilebrequins- et manivelles</v>
      </c>
      <c r="C3064">
        <v>1928024</v>
      </c>
      <c r="D3064">
        <v>32</v>
      </c>
    </row>
    <row r="3065" spans="1:4" x14ac:dyDescent="0.25">
      <c r="A3065" t="str">
        <f>T("   848350")</f>
        <v xml:space="preserve">   848350</v>
      </c>
      <c r="B3065" t="str">
        <f>T("   Volants et poulies, y.c. les poulies à moufles")</f>
        <v xml:space="preserve">   Volants et poulies, y.c. les poulies à moufles</v>
      </c>
      <c r="C3065">
        <v>3529487</v>
      </c>
      <c r="D3065">
        <v>31</v>
      </c>
    </row>
    <row r="3066" spans="1:4" x14ac:dyDescent="0.25">
      <c r="A3066" t="str">
        <f>T("   848360")</f>
        <v xml:space="preserve">   848360</v>
      </c>
      <c r="B3066" t="str">
        <f>T("   Embrayages et organes d'accouplement, y.c. les joints d'articulation, pour machines")</f>
        <v xml:space="preserve">   Embrayages et organes d'accouplement, y.c. les joints d'articulation, pour machines</v>
      </c>
      <c r="C3066">
        <v>2524352</v>
      </c>
      <c r="D3066">
        <v>82</v>
      </c>
    </row>
    <row r="3067" spans="1:4" x14ac:dyDescent="0.25">
      <c r="A3067" t="str">
        <f>T("   848390")</f>
        <v xml:space="preserve">   848390</v>
      </c>
      <c r="B306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067">
        <v>1490997</v>
      </c>
      <c r="D3067">
        <v>85</v>
      </c>
    </row>
    <row r="3068" spans="1:4" x14ac:dyDescent="0.25">
      <c r="A3068" t="str">
        <f>T("   848420")</f>
        <v xml:space="preserve">   848420</v>
      </c>
      <c r="B3068" t="str">
        <f>T("   Joints d'étanchéité mécaniques")</f>
        <v xml:space="preserve">   Joints d'étanchéité mécaniques</v>
      </c>
      <c r="C3068">
        <v>3073611</v>
      </c>
      <c r="D3068">
        <v>10</v>
      </c>
    </row>
    <row r="3069" spans="1:4" x14ac:dyDescent="0.25">
      <c r="A3069" t="str">
        <f>T("   848490")</f>
        <v xml:space="preserve">   848490</v>
      </c>
      <c r="B3069" t="str">
        <f>T("   Jeux ou assortiments de joints de composition différente présentés en pochettes, enveloppes ou emballages analogues")</f>
        <v xml:space="preserve">   Jeux ou assortiments de joints de composition différente présentés en pochettes, enveloppes ou emballages analogues</v>
      </c>
      <c r="C3069">
        <v>30453200</v>
      </c>
      <c r="D3069">
        <v>11776</v>
      </c>
    </row>
    <row r="3070" spans="1:4" x14ac:dyDescent="0.25">
      <c r="A3070" t="str">
        <f>T("   850120")</f>
        <v xml:space="preserve">   850120</v>
      </c>
      <c r="B3070" t="str">
        <f>T("   Moteurs universels, puissance &gt; 37,5 W")</f>
        <v xml:space="preserve">   Moteurs universels, puissance &gt; 37,5 W</v>
      </c>
      <c r="C3070">
        <v>73217599</v>
      </c>
      <c r="D3070">
        <v>7554</v>
      </c>
    </row>
    <row r="3071" spans="1:4" x14ac:dyDescent="0.25">
      <c r="A3071" t="str">
        <f>T("   850152")</f>
        <v xml:space="preserve">   850152</v>
      </c>
      <c r="B3071" t="str">
        <f>T("   Moteurs à courant alternatif, polyphasés, puissance &gt; 750 W mais &lt;= 75 kW")</f>
        <v xml:space="preserve">   Moteurs à courant alternatif, polyphasés, puissance &gt; 750 W mais &lt;= 75 kW</v>
      </c>
      <c r="C3071">
        <v>426976</v>
      </c>
      <c r="D3071">
        <v>14</v>
      </c>
    </row>
    <row r="3072" spans="1:4" x14ac:dyDescent="0.25">
      <c r="A3072" t="str">
        <f>T("   850211")</f>
        <v xml:space="preserve">   850211</v>
      </c>
      <c r="B3072" t="s">
        <v>470</v>
      </c>
      <c r="C3072">
        <v>522800</v>
      </c>
      <c r="D3072">
        <v>220</v>
      </c>
    </row>
    <row r="3073" spans="1:4" x14ac:dyDescent="0.25">
      <c r="A3073" t="str">
        <f>T("   850239")</f>
        <v xml:space="preserve">   850239</v>
      </c>
      <c r="B3073" t="str">
        <f>T("   Groupes électrogènes (autres qu'à énergie éolienne et à moteurs à piston)")</f>
        <v xml:space="preserve">   Groupes électrogènes (autres qu'à énergie éolienne et à moteurs à piston)</v>
      </c>
      <c r="C3073">
        <v>24336621</v>
      </c>
      <c r="D3073">
        <v>12780</v>
      </c>
    </row>
    <row r="3074" spans="1:4" x14ac:dyDescent="0.25">
      <c r="A3074" t="str">
        <f>T("   850300")</f>
        <v xml:space="preserve">   850300</v>
      </c>
      <c r="B3074"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074">
        <v>2228118</v>
      </c>
      <c r="D3074">
        <v>18</v>
      </c>
    </row>
    <row r="3075" spans="1:4" x14ac:dyDescent="0.25">
      <c r="A3075" t="str">
        <f>T("   850440")</f>
        <v xml:space="preserve">   850440</v>
      </c>
      <c r="B3075" t="str">
        <f>T("   CONVERTISSEURS STATIQUES")</f>
        <v xml:space="preserve">   CONVERTISSEURS STATIQUES</v>
      </c>
      <c r="C3075">
        <v>719542</v>
      </c>
      <c r="D3075">
        <v>8</v>
      </c>
    </row>
    <row r="3076" spans="1:4" x14ac:dyDescent="0.25">
      <c r="A3076" t="str">
        <f>T("   850590")</f>
        <v xml:space="preserve">   850590</v>
      </c>
      <c r="B3076"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3076">
        <v>72444</v>
      </c>
      <c r="D3076">
        <v>0.25</v>
      </c>
    </row>
    <row r="3077" spans="1:4" x14ac:dyDescent="0.25">
      <c r="A3077" t="str">
        <f>T("   850650")</f>
        <v xml:space="preserve">   850650</v>
      </c>
      <c r="B3077" t="str">
        <f>T("   Piles et batteries de piles électriques, au lithium (sauf hors d'usage)")</f>
        <v xml:space="preserve">   Piles et batteries de piles électriques, au lithium (sauf hors d'usage)</v>
      </c>
      <c r="C3077">
        <v>102178</v>
      </c>
      <c r="D3077">
        <v>1</v>
      </c>
    </row>
    <row r="3078" spans="1:4" x14ac:dyDescent="0.25">
      <c r="A3078" t="str">
        <f>T("   850680")</f>
        <v xml:space="preserve">   850680</v>
      </c>
      <c r="B307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3078">
        <v>1180248</v>
      </c>
      <c r="D3078">
        <v>0.5</v>
      </c>
    </row>
    <row r="3079" spans="1:4" x14ac:dyDescent="0.25">
      <c r="A3079" t="str">
        <f>T("   850720")</f>
        <v xml:space="preserve">   850720</v>
      </c>
      <c r="B3079" t="str">
        <f>T("   Accumulateurs au plomb (sauf hors d'usage et autres que pour le démarrage des moteurs à piston)")</f>
        <v xml:space="preserve">   Accumulateurs au plomb (sauf hors d'usage et autres que pour le démarrage des moteurs à piston)</v>
      </c>
      <c r="C3079">
        <v>36000</v>
      </c>
      <c r="D3079">
        <v>50</v>
      </c>
    </row>
    <row r="3080" spans="1:4" x14ac:dyDescent="0.25">
      <c r="A3080" t="str">
        <f>T("   850780")</f>
        <v xml:space="preserve">   850780</v>
      </c>
      <c r="B3080" t="str">
        <f>T("   Accumulateurs électriques (sauf hors d'usage et autres qu'au plomb, au nickel-cadmium ou au nickel-fer)")</f>
        <v xml:space="preserve">   Accumulateurs électriques (sauf hors d'usage et autres qu'au plomb, au nickel-cadmium ou au nickel-fer)</v>
      </c>
      <c r="C3080">
        <v>78273409</v>
      </c>
      <c r="D3080">
        <v>15094.5</v>
      </c>
    </row>
    <row r="3081" spans="1:4" x14ac:dyDescent="0.25">
      <c r="A3081" t="str">
        <f>T("   851130")</f>
        <v xml:space="preserve">   851130</v>
      </c>
      <c r="B3081" t="str">
        <f>T("   Distributeurs et bobines d'allumage, pour moteurs à allumage par étincelles ou par compression")</f>
        <v xml:space="preserve">   Distributeurs et bobines d'allumage, pour moteurs à allumage par étincelles ou par compression</v>
      </c>
      <c r="C3081">
        <v>97103</v>
      </c>
      <c r="D3081">
        <v>1</v>
      </c>
    </row>
    <row r="3082" spans="1:4" x14ac:dyDescent="0.25">
      <c r="A3082" t="str">
        <f>T("   851220")</f>
        <v xml:space="preserve">   851220</v>
      </c>
      <c r="B3082" t="str">
        <f>T("   Appareils électriques d'éclairage ou de signalisation visuelle, pour automobiles (à l'excl. des lampes du n° 8539)")</f>
        <v xml:space="preserve">   Appareils électriques d'éclairage ou de signalisation visuelle, pour automobiles (à l'excl. des lampes du n° 8539)</v>
      </c>
      <c r="C3082">
        <v>13149374</v>
      </c>
      <c r="D3082">
        <v>198</v>
      </c>
    </row>
    <row r="3083" spans="1:4" x14ac:dyDescent="0.25">
      <c r="A3083" t="str">
        <f>T("   851310")</f>
        <v xml:space="preserve">   851310</v>
      </c>
      <c r="B3083" t="str">
        <f>T("   Lampes électriques portatives, destinées à fonctionner au moyen de leur propre source d'énergie")</f>
        <v xml:space="preserve">   Lampes électriques portatives, destinées à fonctionner au moyen de leur propre source d'énergie</v>
      </c>
      <c r="C3083">
        <v>1529699</v>
      </c>
      <c r="D3083">
        <v>1484</v>
      </c>
    </row>
    <row r="3084" spans="1:4" x14ac:dyDescent="0.25">
      <c r="A3084" t="str">
        <f>T("   851629")</f>
        <v xml:space="preserve">   851629</v>
      </c>
      <c r="B3084" t="str">
        <f>T("   Appareils électriques pour le chauffage des locaux, du sol ou pour usages simil. (sauf radiateurs à accumulation)")</f>
        <v xml:space="preserve">   Appareils électriques pour le chauffage des locaux, du sol ou pour usages simil. (sauf radiateurs à accumulation)</v>
      </c>
      <c r="C3084">
        <v>7177166</v>
      </c>
      <c r="D3084">
        <v>908</v>
      </c>
    </row>
    <row r="3085" spans="1:4" x14ac:dyDescent="0.25">
      <c r="A3085" t="str">
        <f>T("   851640")</f>
        <v xml:space="preserve">   851640</v>
      </c>
      <c r="B3085" t="str">
        <f>T("   Fers à repasser électriques")</f>
        <v xml:space="preserve">   Fers à repasser électriques</v>
      </c>
      <c r="C3085">
        <v>586142</v>
      </c>
      <c r="D3085">
        <v>600</v>
      </c>
    </row>
    <row r="3086" spans="1:4" x14ac:dyDescent="0.25">
      <c r="A3086" t="str">
        <f>T("   851660")</f>
        <v xml:space="preserve">   851660</v>
      </c>
      <c r="B3086"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086">
        <v>21850</v>
      </c>
      <c r="D3086">
        <v>200</v>
      </c>
    </row>
    <row r="3087" spans="1:4" x14ac:dyDescent="0.25">
      <c r="A3087" t="str">
        <f>T("   851679")</f>
        <v xml:space="preserve">   851679</v>
      </c>
      <c r="B3087" t="s">
        <v>478</v>
      </c>
      <c r="C3087">
        <v>4921521</v>
      </c>
      <c r="D3087">
        <v>12407</v>
      </c>
    </row>
    <row r="3088" spans="1:4" x14ac:dyDescent="0.25">
      <c r="A3088" t="str">
        <f>T("   851690")</f>
        <v xml:space="preserve">   851690</v>
      </c>
      <c r="B3088"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3088">
        <v>13457676</v>
      </c>
      <c r="D3088">
        <v>120</v>
      </c>
    </row>
    <row r="3089" spans="1:4" x14ac:dyDescent="0.25">
      <c r="A3089" t="str">
        <f>T("   851712")</f>
        <v xml:space="preserve">   851712</v>
      </c>
      <c r="B3089" t="str">
        <f>T("   TÉLÉPHONES POUR RÉSEAUX CELLULAIRES [TÉLÉPHONES MOBILES] ET POUR AUTRES RÉSEAUX SANS FIL")</f>
        <v xml:space="preserve">   TÉLÉPHONES POUR RÉSEAUX CELLULAIRES [TÉLÉPHONES MOBILES] ET POUR AUTRES RÉSEAUX SANS FIL</v>
      </c>
      <c r="C3089">
        <v>721408</v>
      </c>
      <c r="D3089">
        <v>3</v>
      </c>
    </row>
    <row r="3090" spans="1:4" x14ac:dyDescent="0.25">
      <c r="A3090" t="str">
        <f>T("   851719")</f>
        <v xml:space="preserve">   851719</v>
      </c>
      <c r="B3090"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3090">
        <v>395000</v>
      </c>
      <c r="D3090">
        <v>12</v>
      </c>
    </row>
    <row r="3091" spans="1:4" x14ac:dyDescent="0.25">
      <c r="A3091" t="str">
        <f>T("   851769")</f>
        <v xml:space="preserve">   851769</v>
      </c>
      <c r="B3091" t="s">
        <v>481</v>
      </c>
      <c r="C3091">
        <v>49590710</v>
      </c>
      <c r="D3091">
        <v>710.03</v>
      </c>
    </row>
    <row r="3092" spans="1:4" x14ac:dyDescent="0.25">
      <c r="A3092" t="str">
        <f>T("   851770")</f>
        <v xml:space="preserve">   851770</v>
      </c>
      <c r="B3092"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3092">
        <v>21805295</v>
      </c>
      <c r="D3092">
        <v>459</v>
      </c>
    </row>
    <row r="3093" spans="1:4" x14ac:dyDescent="0.25">
      <c r="A3093" t="str">
        <f>T("   852090")</f>
        <v xml:space="preserve">   852090</v>
      </c>
      <c r="B309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3093">
        <v>1748133</v>
      </c>
      <c r="D3093">
        <v>1700</v>
      </c>
    </row>
    <row r="3094" spans="1:4" x14ac:dyDescent="0.25">
      <c r="A3094" t="str">
        <f>T("   852380")</f>
        <v xml:space="preserve">   852380</v>
      </c>
      <c r="B3094" t="s">
        <v>490</v>
      </c>
      <c r="C3094">
        <v>291575</v>
      </c>
      <c r="D3094">
        <v>2.8</v>
      </c>
    </row>
    <row r="3095" spans="1:4" x14ac:dyDescent="0.25">
      <c r="A3095" t="str">
        <f>T("   852719")</f>
        <v xml:space="preserve">   852719</v>
      </c>
      <c r="B309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3095">
        <v>306214</v>
      </c>
      <c r="D3095">
        <v>1020</v>
      </c>
    </row>
    <row r="3096" spans="1:4" x14ac:dyDescent="0.25">
      <c r="A3096" t="str">
        <f>T("   852729")</f>
        <v xml:space="preserve">   852729</v>
      </c>
      <c r="B3096" t="s">
        <v>492</v>
      </c>
      <c r="C3096">
        <v>1880362</v>
      </c>
      <c r="D3096">
        <v>1006</v>
      </c>
    </row>
    <row r="3097" spans="1:4" x14ac:dyDescent="0.25">
      <c r="A3097" t="str">
        <f>T("   852812")</f>
        <v xml:space="preserve">   852812</v>
      </c>
      <c r="B309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097">
        <v>486213</v>
      </c>
      <c r="D3097">
        <v>350</v>
      </c>
    </row>
    <row r="3098" spans="1:4" x14ac:dyDescent="0.25">
      <c r="A3098" t="str">
        <f>T("   852849")</f>
        <v xml:space="preserve">   852849</v>
      </c>
      <c r="B3098"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3098">
        <v>5168277</v>
      </c>
      <c r="D3098">
        <v>30182</v>
      </c>
    </row>
    <row r="3099" spans="1:4" x14ac:dyDescent="0.25">
      <c r="A3099" t="str">
        <f>T("   852859")</f>
        <v xml:space="preserve">   852859</v>
      </c>
      <c r="B3099"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3099">
        <v>2085817</v>
      </c>
      <c r="D3099">
        <v>4268</v>
      </c>
    </row>
    <row r="3100" spans="1:4" x14ac:dyDescent="0.25">
      <c r="A3100" t="str">
        <f>T("   852871")</f>
        <v xml:space="preserve">   852871</v>
      </c>
      <c r="B3100"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3100">
        <v>14885184</v>
      </c>
      <c r="D3100">
        <v>631</v>
      </c>
    </row>
    <row r="3101" spans="1:4" x14ac:dyDescent="0.25">
      <c r="A3101" t="str">
        <f>T("   853340")</f>
        <v xml:space="preserve">   853340</v>
      </c>
      <c r="B3101"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3101">
        <v>430843</v>
      </c>
      <c r="D3101">
        <v>1</v>
      </c>
    </row>
    <row r="3102" spans="1:4" x14ac:dyDescent="0.25">
      <c r="A3102" t="str">
        <f>T("   853590")</f>
        <v xml:space="preserve">   853590</v>
      </c>
      <c r="B3102" t="s">
        <v>498</v>
      </c>
      <c r="C3102">
        <v>1000340</v>
      </c>
      <c r="D3102">
        <v>350</v>
      </c>
    </row>
    <row r="3103" spans="1:4" x14ac:dyDescent="0.25">
      <c r="A3103" t="str">
        <f>T("   853630")</f>
        <v xml:space="preserve">   853630</v>
      </c>
      <c r="B3103"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3103">
        <v>17007629</v>
      </c>
      <c r="D3103">
        <v>799</v>
      </c>
    </row>
    <row r="3104" spans="1:4" x14ac:dyDescent="0.25">
      <c r="A3104" t="str">
        <f>T("   853641")</f>
        <v xml:space="preserve">   853641</v>
      </c>
      <c r="B3104" t="str">
        <f>T("   Relais pour une tension &lt;= 60 V")</f>
        <v xml:space="preserve">   Relais pour une tension &lt;= 60 V</v>
      </c>
      <c r="C3104">
        <v>21450</v>
      </c>
      <c r="D3104">
        <v>1</v>
      </c>
    </row>
    <row r="3105" spans="1:4" x14ac:dyDescent="0.25">
      <c r="A3105" t="str">
        <f>T("   853650")</f>
        <v xml:space="preserve">   853650</v>
      </c>
      <c r="B3105" t="str">
        <f>T("   Interrupteurs, sectionneurs et commutateurs, pour une tension &lt;= 1.000 V (autres que relais et disjoncteurs)")</f>
        <v xml:space="preserve">   Interrupteurs, sectionneurs et commutateurs, pour une tension &lt;= 1.000 V (autres que relais et disjoncteurs)</v>
      </c>
      <c r="C3105">
        <v>25958259</v>
      </c>
      <c r="D3105">
        <v>36.200000000000003</v>
      </c>
    </row>
    <row r="3106" spans="1:4" x14ac:dyDescent="0.25">
      <c r="A3106" t="str">
        <f>T("   853669")</f>
        <v xml:space="preserve">   853669</v>
      </c>
      <c r="B3106" t="str">
        <f>T("   Fiches et prises de courant, pour une tension &lt;= 1.000 V (sauf douilles pour lampes)")</f>
        <v xml:space="preserve">   Fiches et prises de courant, pour une tension &lt;= 1.000 V (sauf douilles pour lampes)</v>
      </c>
      <c r="C3106">
        <v>1688787</v>
      </c>
      <c r="D3106">
        <v>10</v>
      </c>
    </row>
    <row r="3107" spans="1:4" x14ac:dyDescent="0.25">
      <c r="A3107" t="str">
        <f>T("   853690")</f>
        <v xml:space="preserve">   853690</v>
      </c>
      <c r="B3107" t="s">
        <v>499</v>
      </c>
      <c r="C3107">
        <v>26159252</v>
      </c>
      <c r="D3107">
        <v>6218</v>
      </c>
    </row>
    <row r="3108" spans="1:4" x14ac:dyDescent="0.25">
      <c r="A3108" t="str">
        <f>T("   853710")</f>
        <v xml:space="preserve">   853710</v>
      </c>
      <c r="B310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108">
        <v>16319722</v>
      </c>
      <c r="D3108">
        <v>20</v>
      </c>
    </row>
    <row r="3109" spans="1:4" x14ac:dyDescent="0.25">
      <c r="A3109" t="str">
        <f>T("   853929")</f>
        <v xml:space="preserve">   853929</v>
      </c>
      <c r="B3109"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3109">
        <v>318837</v>
      </c>
      <c r="D3109">
        <v>10</v>
      </c>
    </row>
    <row r="3110" spans="1:4" x14ac:dyDescent="0.25">
      <c r="A3110" t="str">
        <f>T("   853939")</f>
        <v xml:space="preserve">   853939</v>
      </c>
      <c r="B311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3110">
        <v>230495160</v>
      </c>
      <c r="D3110">
        <v>10243</v>
      </c>
    </row>
    <row r="3111" spans="1:4" x14ac:dyDescent="0.25">
      <c r="A3111" t="str">
        <f>T("   853949")</f>
        <v xml:space="preserve">   853949</v>
      </c>
      <c r="B3111" t="str">
        <f>T("   Lampes et tubes à rayons ultraviolets ou infrarouges")</f>
        <v xml:space="preserve">   Lampes et tubes à rayons ultraviolets ou infrarouges</v>
      </c>
      <c r="C3111">
        <v>2381528</v>
      </c>
      <c r="D3111">
        <v>0.5</v>
      </c>
    </row>
    <row r="3112" spans="1:4" x14ac:dyDescent="0.25">
      <c r="A3112" t="str">
        <f>T("   854140")</f>
        <v xml:space="preserve">   854140</v>
      </c>
      <c r="B3112"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3112">
        <v>3422697</v>
      </c>
      <c r="D3112">
        <v>1062</v>
      </c>
    </row>
    <row r="3113" spans="1:4" x14ac:dyDescent="0.25">
      <c r="A3113" t="str">
        <f>T("   854190")</f>
        <v xml:space="preserve">   854190</v>
      </c>
      <c r="B3113" t="str">
        <f>T("   Parties des diodes, transistors et dispositifs simil. à semi-conducteur, dispositifs photosensibles à semi-conducteur, diodes émettrices de lumière et cristaux piézo-électriques montés, n.d.a.")</f>
        <v xml:space="preserve">   Parties des diodes, transistors et dispositifs simil. à semi-conducteur, dispositifs photosensibles à semi-conducteur, diodes émettrices de lumière et cristaux piézo-électriques montés, n.d.a.</v>
      </c>
      <c r="C3113">
        <v>607255</v>
      </c>
      <c r="D3113">
        <v>4</v>
      </c>
    </row>
    <row r="3114" spans="1:4" x14ac:dyDescent="0.25">
      <c r="A3114" t="str">
        <f>T("   854239")</f>
        <v xml:space="preserve">   854239</v>
      </c>
      <c r="B3114" t="str">
        <f>T("   CIRCUITS INTÉGRÉS ÉLECTRONIQUES (À L'EXCL. DE CEUX UTILISÉS COMME PROCESSEURS, CONTRÔLEURS, MÉMOIRES ET AMPLIFICATEURS)")</f>
        <v xml:space="preserve">   CIRCUITS INTÉGRÉS ÉLECTRONIQUES (À L'EXCL. DE CEUX UTILISÉS COMME PROCESSEURS, CONTRÔLEURS, MÉMOIRES ET AMPLIFICATEURS)</v>
      </c>
      <c r="C3114">
        <v>13119</v>
      </c>
      <c r="D3114">
        <v>1</v>
      </c>
    </row>
    <row r="3115" spans="1:4" x14ac:dyDescent="0.25">
      <c r="A3115" t="str">
        <f>T("   854420")</f>
        <v xml:space="preserve">   854420</v>
      </c>
      <c r="B3115" t="str">
        <f>T("   Câbles coaxiaux et autres conducteurs électriques coaxiaux, isolés")</f>
        <v xml:space="preserve">   Câbles coaxiaux et autres conducteurs électriques coaxiaux, isolés</v>
      </c>
      <c r="C3115">
        <v>12502767</v>
      </c>
      <c r="D3115">
        <v>640</v>
      </c>
    </row>
    <row r="3116" spans="1:4" x14ac:dyDescent="0.25">
      <c r="A3116" t="str">
        <f>T("   854430")</f>
        <v xml:space="preserve">   854430</v>
      </c>
      <c r="B3116" t="str">
        <f>T("   Jeux de fils pour bougies d'allumage et autres jeux de fils, pour moyens de transport")</f>
        <v xml:space="preserve">   Jeux de fils pour bougies d'allumage et autres jeux de fils, pour moyens de transport</v>
      </c>
      <c r="C3116">
        <v>174244</v>
      </c>
      <c r="D3116">
        <v>1.03</v>
      </c>
    </row>
    <row r="3117" spans="1:4" x14ac:dyDescent="0.25">
      <c r="A3117" t="str">
        <f>T("   854460")</f>
        <v xml:space="preserve">   854460</v>
      </c>
      <c r="B3117" t="str">
        <f>T("   Conducteurs électriques, pour tension &gt; 1.000 V, n.d.a.")</f>
        <v xml:space="preserve">   Conducteurs électriques, pour tension &gt; 1.000 V, n.d.a.</v>
      </c>
      <c r="C3117">
        <v>279282</v>
      </c>
      <c r="D3117">
        <v>244</v>
      </c>
    </row>
    <row r="3118" spans="1:4" x14ac:dyDescent="0.25">
      <c r="A3118" t="str">
        <f>T("   854470")</f>
        <v xml:space="preserve">   854470</v>
      </c>
      <c r="B3118"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3118">
        <v>434246</v>
      </c>
      <c r="D3118">
        <v>33</v>
      </c>
    </row>
    <row r="3119" spans="1:4" x14ac:dyDescent="0.25">
      <c r="A3119" t="str">
        <f>T("   870110")</f>
        <v xml:space="preserve">   870110</v>
      </c>
      <c r="B3119"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3119">
        <v>3656320</v>
      </c>
      <c r="D3119">
        <v>10890</v>
      </c>
    </row>
    <row r="3120" spans="1:4" x14ac:dyDescent="0.25">
      <c r="A3120" t="str">
        <f>T("   870120")</f>
        <v xml:space="preserve">   870120</v>
      </c>
      <c r="B3120" t="str">
        <f>T("   Tracteurs routiers pour semi-remorques")</f>
        <v xml:space="preserve">   Tracteurs routiers pour semi-remorques</v>
      </c>
      <c r="C3120">
        <v>85706047</v>
      </c>
      <c r="D3120">
        <v>250434</v>
      </c>
    </row>
    <row r="3121" spans="1:4" x14ac:dyDescent="0.25">
      <c r="A3121" t="str">
        <f>T("   870210")</f>
        <v xml:space="preserve">   870210</v>
      </c>
      <c r="B3121" t="s">
        <v>503</v>
      </c>
      <c r="C3121">
        <v>4800000</v>
      </c>
      <c r="D3121">
        <v>5835</v>
      </c>
    </row>
    <row r="3122" spans="1:4" x14ac:dyDescent="0.25">
      <c r="A3122" t="str">
        <f>T("   870290")</f>
        <v xml:space="preserve">   870290</v>
      </c>
      <c r="B3122" t="s">
        <v>504</v>
      </c>
      <c r="C3122">
        <v>30797779</v>
      </c>
      <c r="D3122">
        <v>32472</v>
      </c>
    </row>
    <row r="3123" spans="1:4" x14ac:dyDescent="0.25">
      <c r="A3123" t="str">
        <f>T("   870321")</f>
        <v xml:space="preserve">   870321</v>
      </c>
      <c r="B3123" t="s">
        <v>505</v>
      </c>
      <c r="C3123">
        <v>8077652</v>
      </c>
      <c r="D3123">
        <v>7480</v>
      </c>
    </row>
    <row r="3124" spans="1:4" x14ac:dyDescent="0.25">
      <c r="A3124" t="str">
        <f>T("   870322")</f>
        <v xml:space="preserve">   870322</v>
      </c>
      <c r="B3124" t="s">
        <v>506</v>
      </c>
      <c r="C3124">
        <v>785428210</v>
      </c>
      <c r="D3124">
        <v>622817</v>
      </c>
    </row>
    <row r="3125" spans="1:4" x14ac:dyDescent="0.25">
      <c r="A3125" t="str">
        <f>T("   870323")</f>
        <v xml:space="preserve">   870323</v>
      </c>
      <c r="B3125" t="s">
        <v>507</v>
      </c>
      <c r="C3125">
        <v>1871294072</v>
      </c>
      <c r="D3125">
        <v>1252352</v>
      </c>
    </row>
    <row r="3126" spans="1:4" x14ac:dyDescent="0.25">
      <c r="A3126" t="str">
        <f>T("   870324")</f>
        <v xml:space="preserve">   870324</v>
      </c>
      <c r="B3126" t="s">
        <v>508</v>
      </c>
      <c r="C3126">
        <v>207618830</v>
      </c>
      <c r="D3126">
        <v>46566</v>
      </c>
    </row>
    <row r="3127" spans="1:4" x14ac:dyDescent="0.25">
      <c r="A3127" t="str">
        <f>T("   870331")</f>
        <v xml:space="preserve">   870331</v>
      </c>
      <c r="B3127" t="s">
        <v>509</v>
      </c>
      <c r="C3127">
        <v>1200000</v>
      </c>
      <c r="D3127">
        <v>1217</v>
      </c>
    </row>
    <row r="3128" spans="1:4" x14ac:dyDescent="0.25">
      <c r="A3128" t="str">
        <f>T("   870332")</f>
        <v xml:space="preserve">   870332</v>
      </c>
      <c r="B3128" t="s">
        <v>510</v>
      </c>
      <c r="C3128">
        <v>78266744</v>
      </c>
      <c r="D3128">
        <v>32654</v>
      </c>
    </row>
    <row r="3129" spans="1:4" x14ac:dyDescent="0.25">
      <c r="A3129" t="str">
        <f>T("   870333")</f>
        <v xml:space="preserve">   870333</v>
      </c>
      <c r="B3129" t="s">
        <v>511</v>
      </c>
      <c r="C3129">
        <v>46526053</v>
      </c>
      <c r="D3129">
        <v>31280</v>
      </c>
    </row>
    <row r="3130" spans="1:4" x14ac:dyDescent="0.25">
      <c r="A3130" t="str">
        <f>T("   870421")</f>
        <v xml:space="preserve">   870421</v>
      </c>
      <c r="B3130" t="s">
        <v>512</v>
      </c>
      <c r="C3130">
        <v>213455738</v>
      </c>
      <c r="D3130">
        <v>134040</v>
      </c>
    </row>
    <row r="3131" spans="1:4" x14ac:dyDescent="0.25">
      <c r="A3131" t="str">
        <f>T("   870422")</f>
        <v xml:space="preserve">   870422</v>
      </c>
      <c r="B3131" t="s">
        <v>513</v>
      </c>
      <c r="C3131">
        <v>46712966</v>
      </c>
      <c r="D3131">
        <v>147335</v>
      </c>
    </row>
    <row r="3132" spans="1:4" x14ac:dyDescent="0.25">
      <c r="A3132" t="str">
        <f>T("   870423")</f>
        <v xml:space="preserve">   870423</v>
      </c>
      <c r="B3132" t="s">
        <v>514</v>
      </c>
      <c r="C3132">
        <v>15483398</v>
      </c>
      <c r="D3132">
        <v>60330</v>
      </c>
    </row>
    <row r="3133" spans="1:4" x14ac:dyDescent="0.25">
      <c r="A3133" t="str">
        <f>T("   870431")</f>
        <v xml:space="preserve">   870431</v>
      </c>
      <c r="B3133" t="s">
        <v>515</v>
      </c>
      <c r="C3133">
        <v>81547762</v>
      </c>
      <c r="D3133">
        <v>75367</v>
      </c>
    </row>
    <row r="3134" spans="1:4" x14ac:dyDescent="0.25">
      <c r="A3134" t="str">
        <f>T("   870490")</f>
        <v xml:space="preserve">   870490</v>
      </c>
      <c r="B3134"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3134">
        <v>4143105</v>
      </c>
      <c r="D3134">
        <v>6350</v>
      </c>
    </row>
    <row r="3135" spans="1:4" x14ac:dyDescent="0.25">
      <c r="A3135" t="str">
        <f>T("   870590")</f>
        <v xml:space="preserve">   870590</v>
      </c>
      <c r="B3135" t="s">
        <v>517</v>
      </c>
      <c r="C3135">
        <v>2693089</v>
      </c>
      <c r="D3135">
        <v>850</v>
      </c>
    </row>
    <row r="3136" spans="1:4" x14ac:dyDescent="0.25">
      <c r="A3136" t="str">
        <f>T("   870810")</f>
        <v xml:space="preserve">   870810</v>
      </c>
      <c r="B3136"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3136">
        <v>410000</v>
      </c>
      <c r="D3136">
        <v>300</v>
      </c>
    </row>
    <row r="3137" spans="1:4" x14ac:dyDescent="0.25">
      <c r="A3137" t="str">
        <f>T("   870829")</f>
        <v xml:space="preserve">   870829</v>
      </c>
      <c r="B3137" t="s">
        <v>519</v>
      </c>
      <c r="C3137">
        <v>9119</v>
      </c>
      <c r="D3137">
        <v>0.8</v>
      </c>
    </row>
    <row r="3138" spans="1:4" x14ac:dyDescent="0.25">
      <c r="A3138" t="str">
        <f>T("   870891")</f>
        <v xml:space="preserve">   870891</v>
      </c>
      <c r="B3138"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3138">
        <v>19833620</v>
      </c>
      <c r="D3138">
        <v>2264</v>
      </c>
    </row>
    <row r="3139" spans="1:4" x14ac:dyDescent="0.25">
      <c r="A3139" t="str">
        <f>T("   870899")</f>
        <v xml:space="preserve">   870899</v>
      </c>
      <c r="B313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139">
        <v>17647485</v>
      </c>
      <c r="D3139">
        <v>43815</v>
      </c>
    </row>
    <row r="3140" spans="1:4" x14ac:dyDescent="0.25">
      <c r="A3140" t="str">
        <f>T("   870919")</f>
        <v xml:space="preserve">   870919</v>
      </c>
      <c r="B3140"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3140">
        <v>1680000</v>
      </c>
      <c r="D3140">
        <v>1700</v>
      </c>
    </row>
    <row r="3141" spans="1:4" x14ac:dyDescent="0.25">
      <c r="A3141" t="str">
        <f>T("   871120")</f>
        <v xml:space="preserve">   871120</v>
      </c>
      <c r="B3141" t="str">
        <f>T("   Motocycles à moteur à piston alternatif, cylindrée &gt; 50 cm³ mais &lt;= 250 cm³")</f>
        <v xml:space="preserve">   Motocycles à moteur à piston alternatif, cylindrée &gt; 50 cm³ mais &lt;= 250 cm³</v>
      </c>
      <c r="C3141">
        <v>2322880</v>
      </c>
      <c r="D3141">
        <v>2344</v>
      </c>
    </row>
    <row r="3142" spans="1:4" x14ac:dyDescent="0.25">
      <c r="A3142" t="str">
        <f>T("   871140")</f>
        <v xml:space="preserve">   871140</v>
      </c>
      <c r="B3142" t="str">
        <f>T("   Motocycles à moteur à piston alternatif, cylindrée &gt; 500 cm³ mais &lt;= 800 cm³")</f>
        <v xml:space="preserve">   Motocycles à moteur à piston alternatif, cylindrée &gt; 500 cm³ mais &lt;= 800 cm³</v>
      </c>
      <c r="C3142">
        <v>11439032</v>
      </c>
      <c r="D3142">
        <v>1814</v>
      </c>
    </row>
    <row r="3143" spans="1:4" x14ac:dyDescent="0.25">
      <c r="A3143" t="str">
        <f>T("   871150")</f>
        <v xml:space="preserve">   871150</v>
      </c>
      <c r="B3143" t="str">
        <f>T("   Motocycles à moteur à piston alternatif, cylindrée &gt; 800 cm³")</f>
        <v xml:space="preserve">   Motocycles à moteur à piston alternatif, cylindrée &gt; 800 cm³</v>
      </c>
      <c r="C3143">
        <v>1196506</v>
      </c>
      <c r="D3143">
        <v>725</v>
      </c>
    </row>
    <row r="3144" spans="1:4" x14ac:dyDescent="0.25">
      <c r="A3144" t="str">
        <f>T("   871190")</f>
        <v xml:space="preserve">   871190</v>
      </c>
      <c r="B3144" t="str">
        <f>T("   Side-cars")</f>
        <v xml:space="preserve">   Side-cars</v>
      </c>
      <c r="C3144">
        <v>6031000</v>
      </c>
      <c r="D3144">
        <v>4135</v>
      </c>
    </row>
    <row r="3145" spans="1:4" x14ac:dyDescent="0.25">
      <c r="A3145" t="str">
        <f>T("   871200")</f>
        <v xml:space="preserve">   871200</v>
      </c>
      <c r="B3145" t="str">
        <f>T("   BICYCLETTES ET AUTRES CYCLES, -Y.C. LES TRIPORTEURS-, SANS MOTEUR")</f>
        <v xml:space="preserve">   BICYCLETTES ET AUTRES CYCLES, -Y.C. LES TRIPORTEURS-, SANS MOTEUR</v>
      </c>
      <c r="C3145">
        <v>352031</v>
      </c>
      <c r="D3145">
        <v>1241</v>
      </c>
    </row>
    <row r="3146" spans="1:4" x14ac:dyDescent="0.25">
      <c r="A3146" t="str">
        <f>T("   871411")</f>
        <v xml:space="preserve">   871411</v>
      </c>
      <c r="B3146" t="str">
        <f>T("   Selles de motocycles, y.c. de cyclomoteurs")</f>
        <v xml:space="preserve">   Selles de motocycles, y.c. de cyclomoteurs</v>
      </c>
      <c r="C3146">
        <v>1000000</v>
      </c>
      <c r="D3146">
        <v>5000</v>
      </c>
    </row>
    <row r="3147" spans="1:4" x14ac:dyDescent="0.25">
      <c r="A3147" t="str">
        <f>T("   871639")</f>
        <v xml:space="preserve">   871639</v>
      </c>
      <c r="B3147"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3147">
        <v>5555957</v>
      </c>
      <c r="D3147">
        <v>12200</v>
      </c>
    </row>
    <row r="3148" spans="1:4" x14ac:dyDescent="0.25">
      <c r="A3148" t="str">
        <f>T("   871640")</f>
        <v xml:space="preserve">   871640</v>
      </c>
      <c r="B3148"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148">
        <v>26435742</v>
      </c>
      <c r="D3148">
        <v>80300</v>
      </c>
    </row>
    <row r="3149" spans="1:4" x14ac:dyDescent="0.25">
      <c r="A3149" t="str">
        <f>T("   871680")</f>
        <v xml:space="preserve">   871680</v>
      </c>
      <c r="B3149" t="str">
        <f>T("   Véhicules dirigés à la main et autres véhicules non automobiles, autres que remorques et semi-remorques")</f>
        <v xml:space="preserve">   Véhicules dirigés à la main et autres véhicules non automobiles, autres que remorques et semi-remorques</v>
      </c>
      <c r="C3149">
        <v>600000</v>
      </c>
      <c r="D3149">
        <v>515</v>
      </c>
    </row>
    <row r="3150" spans="1:4" x14ac:dyDescent="0.25">
      <c r="A3150" t="str">
        <f>T("   900219")</f>
        <v xml:space="preserve">   900219</v>
      </c>
      <c r="B3150" t="str">
        <f>T("   Objectifs (autres que pour appareils de prise de vues, pour projecteurs ou pour appareils photographiques ou cinématographiques d'agrandissement ou de réduction)")</f>
        <v xml:space="preserve">   Objectifs (autres que pour appareils de prise de vues, pour projecteurs ou pour appareils photographiques ou cinématographiques d'agrandissement ou de réduction)</v>
      </c>
      <c r="C3150">
        <v>229586</v>
      </c>
      <c r="D3150">
        <v>336</v>
      </c>
    </row>
    <row r="3151" spans="1:4" x14ac:dyDescent="0.25">
      <c r="A3151" t="str">
        <f>T("   900290")</f>
        <v xml:space="preserve">   900290</v>
      </c>
      <c r="B3151"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3151">
        <v>463754</v>
      </c>
      <c r="D3151">
        <v>5</v>
      </c>
    </row>
    <row r="3152" spans="1:4" x14ac:dyDescent="0.25">
      <c r="A3152" t="str">
        <f>T("   900719")</f>
        <v xml:space="preserve">   900719</v>
      </c>
      <c r="B3152" t="str">
        <f>T("   Caméras cinématographiques, pour films d'une largeur &gt;= 16 mm (à l'excl. des films double-8 mm)")</f>
        <v xml:space="preserve">   Caméras cinématographiques, pour films d'une largeur &gt;= 16 mm (à l'excl. des films double-8 mm)</v>
      </c>
      <c r="C3152">
        <v>4703889</v>
      </c>
      <c r="D3152">
        <v>188</v>
      </c>
    </row>
    <row r="3153" spans="1:4" x14ac:dyDescent="0.25">
      <c r="A3153" t="str">
        <f>T("   901180")</f>
        <v xml:space="preserve">   901180</v>
      </c>
      <c r="B3153" t="s">
        <v>525</v>
      </c>
      <c r="C3153">
        <v>9593356</v>
      </c>
      <c r="D3153">
        <v>173.1</v>
      </c>
    </row>
    <row r="3154" spans="1:4" x14ac:dyDescent="0.25">
      <c r="A3154" t="str">
        <f>T("   901410")</f>
        <v xml:space="preserve">   901410</v>
      </c>
      <c r="B3154" t="str">
        <f>T("   Boussoles, y.c. les compas de navigation")</f>
        <v xml:space="preserve">   Boussoles, y.c. les compas de navigation</v>
      </c>
      <c r="C3154">
        <v>41835</v>
      </c>
      <c r="D3154">
        <v>280</v>
      </c>
    </row>
    <row r="3155" spans="1:4" x14ac:dyDescent="0.25">
      <c r="A3155" t="str">
        <f>T("   901580")</f>
        <v xml:space="preserve">   901580</v>
      </c>
      <c r="B3155" t="s">
        <v>526</v>
      </c>
      <c r="C3155">
        <v>4381314</v>
      </c>
      <c r="D3155">
        <v>4.8</v>
      </c>
    </row>
    <row r="3156" spans="1:4" x14ac:dyDescent="0.25">
      <c r="A3156" t="str">
        <f>T("   901819")</f>
        <v xml:space="preserve">   901819</v>
      </c>
      <c r="B3156" t="s">
        <v>527</v>
      </c>
      <c r="C3156">
        <v>7982536</v>
      </c>
      <c r="D3156">
        <v>545</v>
      </c>
    </row>
    <row r="3157" spans="1:4" x14ac:dyDescent="0.25">
      <c r="A3157" t="str">
        <f>T("   901831")</f>
        <v xml:space="preserve">   901831</v>
      </c>
      <c r="B3157" t="str">
        <f>T("   Seringues, avec ou sans aiguilles, pour la médecine")</f>
        <v xml:space="preserve">   Seringues, avec ou sans aiguilles, pour la médecine</v>
      </c>
      <c r="C3157">
        <v>3945838</v>
      </c>
      <c r="D3157">
        <v>509</v>
      </c>
    </row>
    <row r="3158" spans="1:4" x14ac:dyDescent="0.25">
      <c r="A3158" t="str">
        <f>T("   901849")</f>
        <v xml:space="preserve">   901849</v>
      </c>
      <c r="B3158" t="str">
        <f>T("   Instruments et appareils pour l'art dentaire, n.d.a.")</f>
        <v xml:space="preserve">   Instruments et appareils pour l'art dentaire, n.d.a.</v>
      </c>
      <c r="C3158">
        <v>2913774</v>
      </c>
      <c r="D3158">
        <v>5992</v>
      </c>
    </row>
    <row r="3159" spans="1:4" x14ac:dyDescent="0.25">
      <c r="A3159" t="str">
        <f>T("   901890")</f>
        <v xml:space="preserve">   901890</v>
      </c>
      <c r="B3159" t="str">
        <f>T("   Instruments et appareils pour la médecine, la chirurgie ou l'art vétérinaire, n.d.a.")</f>
        <v xml:space="preserve">   Instruments et appareils pour la médecine, la chirurgie ou l'art vétérinaire, n.d.a.</v>
      </c>
      <c r="C3159">
        <v>19023040</v>
      </c>
      <c r="D3159">
        <v>9083.6</v>
      </c>
    </row>
    <row r="3160" spans="1:4" x14ac:dyDescent="0.25">
      <c r="A3160" t="str">
        <f>T("   902140")</f>
        <v xml:space="preserve">   902140</v>
      </c>
      <c r="B3160" t="str">
        <f>T("   Appareils pour faciliter l'audition aux sourds (sauf parties et accessoires)")</f>
        <v xml:space="preserve">   Appareils pour faciliter l'audition aux sourds (sauf parties et accessoires)</v>
      </c>
      <c r="C3160">
        <v>2490024</v>
      </c>
      <c r="D3160">
        <v>15.9</v>
      </c>
    </row>
    <row r="3161" spans="1:4" x14ac:dyDescent="0.25">
      <c r="A3161" t="str">
        <f>T("   902290")</f>
        <v xml:space="preserve">   902290</v>
      </c>
      <c r="B3161" t="s">
        <v>529</v>
      </c>
      <c r="C3161">
        <v>25631139</v>
      </c>
      <c r="D3161">
        <v>1249</v>
      </c>
    </row>
    <row r="3162" spans="1:4" x14ac:dyDescent="0.25">
      <c r="A3162" t="str">
        <f>T("   902580")</f>
        <v xml:space="preserve">   902580</v>
      </c>
      <c r="B3162" t="s">
        <v>531</v>
      </c>
      <c r="C3162">
        <v>3562094</v>
      </c>
      <c r="D3162">
        <v>19</v>
      </c>
    </row>
    <row r="3163" spans="1:4" x14ac:dyDescent="0.25">
      <c r="A3163" t="str">
        <f>T("   902610")</f>
        <v xml:space="preserve">   902610</v>
      </c>
      <c r="B3163"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3163">
        <v>27100766</v>
      </c>
      <c r="D3163">
        <v>174</v>
      </c>
    </row>
    <row r="3164" spans="1:4" x14ac:dyDescent="0.25">
      <c r="A3164" t="str">
        <f>T("   902620")</f>
        <v xml:space="preserve">   902620</v>
      </c>
      <c r="B3164"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164">
        <v>12690484</v>
      </c>
      <c r="D3164">
        <v>87</v>
      </c>
    </row>
    <row r="3165" spans="1:4" x14ac:dyDescent="0.25">
      <c r="A3165" t="str">
        <f>T("   902680")</f>
        <v xml:space="preserve">   902680</v>
      </c>
      <c r="B3165" t="str">
        <f>T("   Instruments et appareils pour la mesure et le contrôle des caractéristiques variables des liquides ou des gaz, n.d.a.")</f>
        <v xml:space="preserve">   Instruments et appareils pour la mesure et le contrôle des caractéristiques variables des liquides ou des gaz, n.d.a.</v>
      </c>
      <c r="C3165">
        <v>1521719</v>
      </c>
      <c r="D3165">
        <v>3</v>
      </c>
    </row>
    <row r="3166" spans="1:4" x14ac:dyDescent="0.25">
      <c r="A3166" t="str">
        <f>T("   902690")</f>
        <v xml:space="preserve">   902690</v>
      </c>
      <c r="B3166"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3166">
        <v>14618609</v>
      </c>
      <c r="D3166">
        <v>229.5</v>
      </c>
    </row>
    <row r="3167" spans="1:4" x14ac:dyDescent="0.25">
      <c r="A3167" t="str">
        <f>T("   902710")</f>
        <v xml:space="preserve">   902710</v>
      </c>
      <c r="B3167" t="str">
        <f>T("   Analyseurs de gaz ou de fumées")</f>
        <v xml:space="preserve">   Analyseurs de gaz ou de fumées</v>
      </c>
      <c r="C3167">
        <v>55851339</v>
      </c>
      <c r="D3167">
        <v>287</v>
      </c>
    </row>
    <row r="3168" spans="1:4" x14ac:dyDescent="0.25">
      <c r="A3168" t="str">
        <f>T("   902780")</f>
        <v xml:space="preserve">   902780</v>
      </c>
      <c r="B3168"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3168">
        <v>10110438</v>
      </c>
      <c r="D3168">
        <v>38</v>
      </c>
    </row>
    <row r="3169" spans="1:4" x14ac:dyDescent="0.25">
      <c r="A3169" t="str">
        <f>T("   902790")</f>
        <v xml:space="preserve">   902790</v>
      </c>
      <c r="B3169" t="s">
        <v>532</v>
      </c>
      <c r="C3169">
        <v>33764978</v>
      </c>
      <c r="D3169">
        <v>706.5</v>
      </c>
    </row>
    <row r="3170" spans="1:4" x14ac:dyDescent="0.25">
      <c r="A3170" t="str">
        <f>T("   902830")</f>
        <v xml:space="preserve">   902830</v>
      </c>
      <c r="B3170" t="str">
        <f>T("   Compteurs d'électricité, y.c. les compteurs pour leur étalonnage")</f>
        <v xml:space="preserve">   Compteurs d'électricité, y.c. les compteurs pour leur étalonnage</v>
      </c>
      <c r="C3170">
        <v>100000</v>
      </c>
      <c r="D3170">
        <v>12.5</v>
      </c>
    </row>
    <row r="3171" spans="1:4" x14ac:dyDescent="0.25">
      <c r="A3171" t="str">
        <f>T("   902910")</f>
        <v xml:space="preserve">   902910</v>
      </c>
      <c r="B3171"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3171">
        <v>1712744</v>
      </c>
      <c r="D3171">
        <v>3</v>
      </c>
    </row>
    <row r="3172" spans="1:4" x14ac:dyDescent="0.25">
      <c r="A3172" t="str">
        <f>T("   903033")</f>
        <v xml:space="preserve">   903033</v>
      </c>
      <c r="B3172" t="str">
        <f>T("   INSTRUMENTS ET APPAREILS POUR LA MESURE OU LE CONTRÔLE DE LA TENSION, DE L'INTENSITÉ, DE LA RÉSISTANCE OU DE LA PUISSANCE, SANS DISPOSITIF ENREGISTREUR (À L'EXCL. DES MULTIMÈTRES AINSI QUE DES OSCILLOSCOPES ET OSCILLOGRAPHES)")</f>
        <v xml:space="preserve">   INSTRUMENTS ET APPAREILS POUR LA MESURE OU LE CONTRÔLE DE LA TENSION, DE L'INTENSITÉ, DE LA RÉSISTANCE OU DE LA PUISSANCE, SANS DISPOSITIF ENREGISTREUR (À L'EXCL. DES MULTIMÈTRES AINSI QUE DES OSCILLOSCOPES ET OSCILLOGRAPHES)</v>
      </c>
      <c r="C3172">
        <v>50509</v>
      </c>
      <c r="D3172">
        <v>25</v>
      </c>
    </row>
    <row r="3173" spans="1:4" x14ac:dyDescent="0.25">
      <c r="A3173" t="str">
        <f>T("   903039")</f>
        <v xml:space="preserve">   903039</v>
      </c>
      <c r="B3173"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3173">
        <v>2480591</v>
      </c>
      <c r="D3173">
        <v>4</v>
      </c>
    </row>
    <row r="3174" spans="1:4" x14ac:dyDescent="0.25">
      <c r="A3174" t="str">
        <f>T("   903149")</f>
        <v xml:space="preserve">   903149</v>
      </c>
      <c r="B3174" t="str">
        <f>T("   INSTRUMENTS, APPAREILS ET MACHINES DE MESURE OU DE CONTRÔLE, OPTIQUES, N.D.A. DANS LE CHAPITRE 90")</f>
        <v xml:space="preserve">   INSTRUMENTS, APPAREILS ET MACHINES DE MESURE OU DE CONTRÔLE, OPTIQUES, N.D.A. DANS LE CHAPITRE 90</v>
      </c>
      <c r="C3174">
        <v>12814068</v>
      </c>
      <c r="D3174">
        <v>96</v>
      </c>
    </row>
    <row r="3175" spans="1:4" x14ac:dyDescent="0.25">
      <c r="A3175" t="str">
        <f>T("   903180")</f>
        <v xml:space="preserve">   903180</v>
      </c>
      <c r="B3175" t="str">
        <f>T("   INSTRUMENTS, APPAREILS ET MACHINES DE MESURE OU DE CONTRÔLE, NON-OPTIQUES, N.D.A. DANS LE PRÉSENT CHAPITRE")</f>
        <v xml:space="preserve">   INSTRUMENTS, APPAREILS ET MACHINES DE MESURE OU DE CONTRÔLE, NON-OPTIQUES, N.D.A. DANS LE PRÉSENT CHAPITRE</v>
      </c>
      <c r="C3175">
        <v>7980010</v>
      </c>
      <c r="D3175">
        <v>14</v>
      </c>
    </row>
    <row r="3176" spans="1:4" x14ac:dyDescent="0.25">
      <c r="A3176" t="str">
        <f>T("   903190")</f>
        <v xml:space="preserve">   903190</v>
      </c>
      <c r="B3176" t="str">
        <f>T("   Parties et accessoires des instruments, appareils et machines de mesure ou de contrôle, n.d.a.")</f>
        <v xml:space="preserve">   Parties et accessoires des instruments, appareils et machines de mesure ou de contrôle, n.d.a.</v>
      </c>
      <c r="C3176">
        <v>14041882</v>
      </c>
      <c r="D3176">
        <v>97.5</v>
      </c>
    </row>
    <row r="3177" spans="1:4" x14ac:dyDescent="0.25">
      <c r="A3177" t="str">
        <f>T("   903220")</f>
        <v xml:space="preserve">   903220</v>
      </c>
      <c r="B3177" t="str">
        <f>T("   Manostats [pressostats] (sauf les articles de robinetterie du n° 8481)")</f>
        <v xml:space="preserve">   Manostats [pressostats] (sauf les articles de robinetterie du n° 8481)</v>
      </c>
      <c r="C3177">
        <v>987021</v>
      </c>
      <c r="D3177">
        <v>6</v>
      </c>
    </row>
    <row r="3178" spans="1:4" x14ac:dyDescent="0.25">
      <c r="A3178" t="str">
        <f>T("   903289")</f>
        <v xml:space="preserve">   903289</v>
      </c>
      <c r="B3178" t="s">
        <v>534</v>
      </c>
      <c r="C3178">
        <v>10885325</v>
      </c>
      <c r="D3178">
        <v>16</v>
      </c>
    </row>
    <row r="3179" spans="1:4" x14ac:dyDescent="0.25">
      <c r="A3179" t="str">
        <f>T("   903290")</f>
        <v xml:space="preserve">   903290</v>
      </c>
      <c r="B3179" t="str">
        <f>T("   Parties et accessoires des instruments et appareils pour la régulation ou le contrôle automatiques, n.d.a.")</f>
        <v xml:space="preserve">   Parties et accessoires des instruments et appareils pour la régulation ou le contrôle automatiques, n.d.a.</v>
      </c>
      <c r="C3179">
        <v>1153856</v>
      </c>
      <c r="D3179">
        <v>7</v>
      </c>
    </row>
    <row r="3180" spans="1:4" x14ac:dyDescent="0.25">
      <c r="A3180" t="str">
        <f>T("   910610")</f>
        <v xml:space="preserve">   910610</v>
      </c>
      <c r="B3180" t="str">
        <f>T("   HORLOGES DE POINTAGE; HORODATEURS ET HOROCOMPTEURS [01/01/1988-31/12/1994: HORLOGES DE POINTAGE; HORODATEURS ET HOROCOMPTEURS]")</f>
        <v xml:space="preserve">   HORLOGES DE POINTAGE; HORODATEURS ET HOROCOMPTEURS [01/01/1988-31/12/1994: HORLOGES DE POINTAGE; HORODATEURS ET HOROCOMPTEURS]</v>
      </c>
      <c r="C3180">
        <v>1852103</v>
      </c>
      <c r="D3180">
        <v>1</v>
      </c>
    </row>
    <row r="3181" spans="1:4" x14ac:dyDescent="0.25">
      <c r="A3181" t="str">
        <f>T("   940169")</f>
        <v xml:space="preserve">   940169</v>
      </c>
      <c r="B3181" t="str">
        <f>T("   Sièges, avec bâti en bois, non rembourrés")</f>
        <v xml:space="preserve">   Sièges, avec bâti en bois, non rembourrés</v>
      </c>
      <c r="C3181">
        <v>163587</v>
      </c>
      <c r="D3181">
        <v>168</v>
      </c>
    </row>
    <row r="3182" spans="1:4" x14ac:dyDescent="0.25">
      <c r="A3182" t="str">
        <f>T("   940290")</f>
        <v xml:space="preserve">   940290</v>
      </c>
      <c r="B3182"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182">
        <v>1407690</v>
      </c>
      <c r="D3182">
        <v>6755</v>
      </c>
    </row>
    <row r="3183" spans="1:4" x14ac:dyDescent="0.25">
      <c r="A3183" t="str">
        <f>T("   940320")</f>
        <v xml:space="preserve">   940320</v>
      </c>
      <c r="B3183"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183">
        <v>200000</v>
      </c>
      <c r="D3183">
        <v>1300</v>
      </c>
    </row>
    <row r="3184" spans="1:4" x14ac:dyDescent="0.25">
      <c r="A3184" t="str">
        <f>T("   940330")</f>
        <v xml:space="preserve">   940330</v>
      </c>
      <c r="B3184" t="str">
        <f>T("   Meubles de bureau en bois (sauf sièges)")</f>
        <v xml:space="preserve">   Meubles de bureau en bois (sauf sièges)</v>
      </c>
      <c r="C3184">
        <v>5929878</v>
      </c>
      <c r="D3184">
        <v>12008</v>
      </c>
    </row>
    <row r="3185" spans="1:4" x14ac:dyDescent="0.25">
      <c r="A3185" t="str">
        <f>T("   940350")</f>
        <v xml:space="preserve">   940350</v>
      </c>
      <c r="B3185" t="str">
        <f>T("   Meubles pour chambres à coucher, en bois (sauf sièges)")</f>
        <v xml:space="preserve">   Meubles pour chambres à coucher, en bois (sauf sièges)</v>
      </c>
      <c r="C3185">
        <v>23664871</v>
      </c>
      <c r="D3185">
        <v>7600</v>
      </c>
    </row>
    <row r="3186" spans="1:4" x14ac:dyDescent="0.25">
      <c r="A3186" t="str">
        <f>T("   940360")</f>
        <v xml:space="preserve">   940360</v>
      </c>
      <c r="B3186" t="str">
        <f>T("   Meubles en bois (autres que pour bureaux, cuisines ou chambres à coucher et autres que sièges)")</f>
        <v xml:space="preserve">   Meubles en bois (autres que pour bureaux, cuisines ou chambres à coucher et autres que sièges)</v>
      </c>
      <c r="C3186">
        <v>35724581</v>
      </c>
      <c r="D3186">
        <v>57406</v>
      </c>
    </row>
    <row r="3187" spans="1:4" x14ac:dyDescent="0.25">
      <c r="A3187" t="str">
        <f>T("   940370")</f>
        <v xml:space="preserve">   940370</v>
      </c>
      <c r="B318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3187">
        <v>2477101</v>
      </c>
      <c r="D3187">
        <v>4500</v>
      </c>
    </row>
    <row r="3188" spans="1:4" x14ac:dyDescent="0.25">
      <c r="A3188" t="str">
        <f>T("   940380")</f>
        <v xml:space="preserve">   940380</v>
      </c>
      <c r="B3188" t="str">
        <f>T("   Meubles en rotin, osier, bambou ou autres matières (sauf métal, bois et matières plastiques)")</f>
        <v xml:space="preserve">   Meubles en rotin, osier, bambou ou autres matières (sauf métal, bois et matières plastiques)</v>
      </c>
      <c r="C3188">
        <v>709749</v>
      </c>
      <c r="D3188">
        <v>1200</v>
      </c>
    </row>
    <row r="3189" spans="1:4" x14ac:dyDescent="0.25">
      <c r="A3189" t="str">
        <f>T("   940389")</f>
        <v xml:space="preserve">   940389</v>
      </c>
      <c r="B318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3189">
        <v>14563747</v>
      </c>
      <c r="D3189">
        <v>19600</v>
      </c>
    </row>
    <row r="3190" spans="1:4" x14ac:dyDescent="0.25">
      <c r="A3190" t="str">
        <f>T("   940390")</f>
        <v xml:space="preserve">   940390</v>
      </c>
      <c r="B3190"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3190">
        <v>712936</v>
      </c>
      <c r="D3190">
        <v>2146</v>
      </c>
    </row>
    <row r="3191" spans="1:4" x14ac:dyDescent="0.25">
      <c r="A3191" t="str">
        <f>T("   940410")</f>
        <v xml:space="preserve">   940410</v>
      </c>
      <c r="B3191" t="str">
        <f>T("   Sommiers (sauf ressorts pour sièges)")</f>
        <v xml:space="preserve">   Sommiers (sauf ressorts pour sièges)</v>
      </c>
      <c r="C3191">
        <v>500000</v>
      </c>
      <c r="D3191">
        <v>2000</v>
      </c>
    </row>
    <row r="3192" spans="1:4" x14ac:dyDescent="0.25">
      <c r="A3192" t="str">
        <f>T("   940429")</f>
        <v xml:space="preserve">   940429</v>
      </c>
      <c r="B319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192">
        <v>303054</v>
      </c>
      <c r="D3192">
        <v>2000</v>
      </c>
    </row>
    <row r="3193" spans="1:4" x14ac:dyDescent="0.25">
      <c r="A3193" t="str">
        <f>T("   940490")</f>
        <v xml:space="preserve">   940490</v>
      </c>
      <c r="B3193" t="s">
        <v>537</v>
      </c>
      <c r="C3193">
        <v>227000</v>
      </c>
      <c r="D3193">
        <v>350</v>
      </c>
    </row>
    <row r="3194" spans="1:4" x14ac:dyDescent="0.25">
      <c r="A3194" t="str">
        <f>T("   940560")</f>
        <v xml:space="preserve">   940560</v>
      </c>
      <c r="B3194"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3194">
        <v>597475</v>
      </c>
      <c r="D3194">
        <v>194</v>
      </c>
    </row>
    <row r="3195" spans="1:4" x14ac:dyDescent="0.25">
      <c r="A3195" t="str">
        <f>T("   950430")</f>
        <v xml:space="preserve">   950430</v>
      </c>
      <c r="B3195" t="s">
        <v>538</v>
      </c>
      <c r="C3195">
        <v>238000</v>
      </c>
      <c r="D3195">
        <v>50</v>
      </c>
    </row>
    <row r="3196" spans="1:4" x14ac:dyDescent="0.25">
      <c r="A3196" t="str">
        <f>T("   950490")</f>
        <v xml:space="preserve">   950490</v>
      </c>
      <c r="B3196" t="s">
        <v>539</v>
      </c>
      <c r="C3196">
        <v>230000</v>
      </c>
      <c r="D3196">
        <v>610</v>
      </c>
    </row>
    <row r="3197" spans="1:4" x14ac:dyDescent="0.25">
      <c r="A3197" t="str">
        <f>T("   950590")</f>
        <v xml:space="preserve">   950590</v>
      </c>
      <c r="B3197" t="str">
        <f>T("   Articles pour fêtes, carnaval ou autres divertissements, y.c. les articles de magie et articles-surprises, n.d.a.")</f>
        <v xml:space="preserve">   Articles pour fêtes, carnaval ou autres divertissements, y.c. les articles de magie et articles-surprises, n.d.a.</v>
      </c>
      <c r="C3197">
        <v>2039745</v>
      </c>
      <c r="D3197">
        <v>1460</v>
      </c>
    </row>
    <row r="3198" spans="1:4" x14ac:dyDescent="0.25">
      <c r="A3198" t="str">
        <f>T("   950662")</f>
        <v xml:space="preserve">   950662</v>
      </c>
      <c r="B3198" t="str">
        <f>T("   Ballons et balles gonflables")</f>
        <v xml:space="preserve">   Ballons et balles gonflables</v>
      </c>
      <c r="C3198">
        <v>3293313</v>
      </c>
      <c r="D3198">
        <v>257</v>
      </c>
    </row>
    <row r="3199" spans="1:4" x14ac:dyDescent="0.25">
      <c r="A3199" t="str">
        <f>T("   960810")</f>
        <v xml:space="preserve">   960810</v>
      </c>
      <c r="B3199" t="str">
        <f>T("   Stylos et crayons à bille")</f>
        <v xml:space="preserve">   Stylos et crayons à bille</v>
      </c>
      <c r="C3199">
        <v>175141</v>
      </c>
      <c r="D3199">
        <v>3</v>
      </c>
    </row>
    <row r="3200" spans="1:4" x14ac:dyDescent="0.25">
      <c r="A3200" t="str">
        <f>T("   961000")</f>
        <v xml:space="preserve">   961000</v>
      </c>
      <c r="B3200" t="str">
        <f>T("   Ardoises et tableaux pour l'écriture ou le dessin, même encadrés")</f>
        <v xml:space="preserve">   Ardoises et tableaux pour l'écriture ou le dessin, même encadrés</v>
      </c>
      <c r="C3200">
        <v>2086609</v>
      </c>
      <c r="D3200">
        <v>185</v>
      </c>
    </row>
    <row r="3201" spans="1:4" x14ac:dyDescent="0.25">
      <c r="A3201" t="str">
        <f>T("DJ")</f>
        <v>DJ</v>
      </c>
      <c r="B3201" t="str">
        <f>T("Djibouti")</f>
        <v>Djibouti</v>
      </c>
    </row>
    <row r="3202" spans="1:4" x14ac:dyDescent="0.25">
      <c r="A3202" t="str">
        <f>T("   ZZ_Total_Produit_SH6")</f>
        <v xml:space="preserve">   ZZ_Total_Produit_SH6</v>
      </c>
      <c r="B3202" t="str">
        <f>T("   ZZ_Total_Produit_SH6")</f>
        <v xml:space="preserve">   ZZ_Total_Produit_SH6</v>
      </c>
      <c r="C3202">
        <v>1451101</v>
      </c>
      <c r="D3202">
        <v>243</v>
      </c>
    </row>
    <row r="3203" spans="1:4" x14ac:dyDescent="0.25">
      <c r="A3203" t="str">
        <f>T("   491199")</f>
        <v xml:space="preserve">   491199</v>
      </c>
      <c r="B3203" t="str">
        <f>T("   Imprimés, n.d.a.")</f>
        <v xml:space="preserve">   Imprimés, n.d.a.</v>
      </c>
      <c r="C3203">
        <v>290457</v>
      </c>
      <c r="D3203">
        <v>40</v>
      </c>
    </row>
    <row r="3204" spans="1:4" x14ac:dyDescent="0.25">
      <c r="A3204" t="str">
        <f>T("   621040")</f>
        <v xml:space="preserve">   621040</v>
      </c>
      <c r="B3204" t="s">
        <v>294</v>
      </c>
      <c r="C3204">
        <v>94156</v>
      </c>
      <c r="D3204">
        <v>85</v>
      </c>
    </row>
    <row r="3205" spans="1:4" x14ac:dyDescent="0.25">
      <c r="A3205" t="str">
        <f>T("   640590")</f>
        <v xml:space="preserve">   640590</v>
      </c>
      <c r="B3205" t="s">
        <v>311</v>
      </c>
      <c r="C3205">
        <v>926488</v>
      </c>
      <c r="D3205">
        <v>113</v>
      </c>
    </row>
    <row r="3206" spans="1:4" x14ac:dyDescent="0.25">
      <c r="A3206" t="str">
        <f>T("   851718")</f>
        <v xml:space="preserve">   851718</v>
      </c>
      <c r="B3206"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3206">
        <v>100000</v>
      </c>
      <c r="D3206">
        <v>1</v>
      </c>
    </row>
    <row r="3207" spans="1:4" x14ac:dyDescent="0.25">
      <c r="A3207" t="str">
        <f>T("   851769")</f>
        <v xml:space="preserve">   851769</v>
      </c>
      <c r="B3207" t="s">
        <v>481</v>
      </c>
      <c r="C3207">
        <v>40000</v>
      </c>
      <c r="D3207">
        <v>4</v>
      </c>
    </row>
    <row r="3208" spans="1:4" x14ac:dyDescent="0.25">
      <c r="A3208" t="str">
        <f>T("DK")</f>
        <v>DK</v>
      </c>
      <c r="B3208" t="str">
        <f>T("Danemark")</f>
        <v>Danemark</v>
      </c>
    </row>
    <row r="3209" spans="1:4" x14ac:dyDescent="0.25">
      <c r="A3209" t="str">
        <f>T("   ZZ_Total_Produit_SH6")</f>
        <v xml:space="preserve">   ZZ_Total_Produit_SH6</v>
      </c>
      <c r="B3209" t="str">
        <f>T("   ZZ_Total_Produit_SH6")</f>
        <v xml:space="preserve">   ZZ_Total_Produit_SH6</v>
      </c>
      <c r="C3209">
        <v>4860549535</v>
      </c>
      <c r="D3209">
        <v>6309828.8600000003</v>
      </c>
    </row>
    <row r="3210" spans="1:4" x14ac:dyDescent="0.25">
      <c r="A3210" t="str">
        <f>T("   020712")</f>
        <v xml:space="preserve">   020712</v>
      </c>
      <c r="B3210" t="str">
        <f>T("   COQS ET POULES [DES ESPÈCES DOMESTIQUES], NON-DÉCOUPÉS EN MORCEAUX, CONGELÉS")</f>
        <v xml:space="preserve">   COQS ET POULES [DES ESPÈCES DOMESTIQUES], NON-DÉCOUPÉS EN MORCEAUX, CONGELÉS</v>
      </c>
      <c r="C3210">
        <v>1238554476</v>
      </c>
      <c r="D3210">
        <v>1987190</v>
      </c>
    </row>
    <row r="3211" spans="1:4" x14ac:dyDescent="0.25">
      <c r="A3211" t="str">
        <f>T("   020713")</f>
        <v xml:space="preserve">   020713</v>
      </c>
      <c r="B3211" t="str">
        <f>T("   Morceaux et abats comestibles de coqs et de poules [des espèces domestiques], frais ou réfrigérés")</f>
        <v xml:space="preserve">   Morceaux et abats comestibles de coqs et de poules [des espèces domestiques], frais ou réfrigérés</v>
      </c>
      <c r="C3211">
        <v>31100376</v>
      </c>
      <c r="D3211">
        <v>50000</v>
      </c>
    </row>
    <row r="3212" spans="1:4" x14ac:dyDescent="0.25">
      <c r="A3212" t="str">
        <f>T("   020714")</f>
        <v xml:space="preserve">   020714</v>
      </c>
      <c r="B3212" t="str">
        <f>T("   Morceaux et abats comestibles de coqs et de poules [des espèces domestiques], congelés")</f>
        <v xml:space="preserve">   Morceaux et abats comestibles de coqs et de poules [des espèces domestiques], congelés</v>
      </c>
      <c r="C3212">
        <v>851371920</v>
      </c>
      <c r="D3212">
        <v>1372740</v>
      </c>
    </row>
    <row r="3213" spans="1:4" x14ac:dyDescent="0.25">
      <c r="A3213" t="str">
        <f>T("   020727")</f>
        <v xml:space="preserve">   020727</v>
      </c>
      <c r="B3213" t="str">
        <f>T("   Morceaux et abats comestibles de dindes et dindons [des espèces domestiques], congelés")</f>
        <v xml:space="preserve">   Morceaux et abats comestibles de dindes et dindons [des espèces domestiques], congelés</v>
      </c>
      <c r="C3213">
        <v>970981457</v>
      </c>
      <c r="D3213">
        <v>1548905</v>
      </c>
    </row>
    <row r="3214" spans="1:4" x14ac:dyDescent="0.25">
      <c r="A3214" t="str">
        <f>T("   020810")</f>
        <v xml:space="preserve">   020810</v>
      </c>
      <c r="B3214" t="str">
        <f>T("   Viandes et abats comestibles de lapins ou de lièvres, frais, réfrigérés ou congelés")</f>
        <v xml:space="preserve">   Viandes et abats comestibles de lapins ou de lièvres, frais, réfrigérés ou congelés</v>
      </c>
      <c r="C3214">
        <v>355294</v>
      </c>
      <c r="D3214">
        <v>500</v>
      </c>
    </row>
    <row r="3215" spans="1:4" x14ac:dyDescent="0.25">
      <c r="A3215" t="str">
        <f>T("   030339")</f>
        <v xml:space="preserve">   030339</v>
      </c>
      <c r="B3215"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3215">
        <v>19260000</v>
      </c>
      <c r="D3215">
        <v>85600</v>
      </c>
    </row>
    <row r="3216" spans="1:4" x14ac:dyDescent="0.25">
      <c r="A3216" t="str">
        <f>T("   030374")</f>
        <v xml:space="preserve">   030374</v>
      </c>
      <c r="B3216" t="str">
        <f>T("   Maquereaux [Scomber scombrus, Scomber australasicus, Scomber japonicus], congelés")</f>
        <v xml:space="preserve">   Maquereaux [Scomber scombrus, Scomber australasicus, Scomber japonicus], congelés</v>
      </c>
      <c r="C3216">
        <v>42644616</v>
      </c>
      <c r="D3216">
        <v>189620</v>
      </c>
    </row>
    <row r="3217" spans="1:4" x14ac:dyDescent="0.25">
      <c r="A3217" t="str">
        <f>T("   030379")</f>
        <v xml:space="preserve">   030379</v>
      </c>
      <c r="B3217" t="s">
        <v>16</v>
      </c>
      <c r="C3217">
        <v>11241000</v>
      </c>
      <c r="D3217">
        <v>49960</v>
      </c>
    </row>
    <row r="3218" spans="1:4" x14ac:dyDescent="0.25">
      <c r="A3218" t="str">
        <f>T("   040510")</f>
        <v xml:space="preserve">   040510</v>
      </c>
      <c r="B3218" t="str">
        <f>T("   Beurre (sauf beurre déshydraté et ghee)")</f>
        <v xml:space="preserve">   Beurre (sauf beurre déshydraté et ghee)</v>
      </c>
      <c r="C3218">
        <v>6097549</v>
      </c>
      <c r="D3218">
        <v>5664</v>
      </c>
    </row>
    <row r="3219" spans="1:4" x14ac:dyDescent="0.25">
      <c r="A3219" t="str">
        <f>T("   050400")</f>
        <v xml:space="preserve">   050400</v>
      </c>
      <c r="B3219"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219">
        <v>60000000</v>
      </c>
      <c r="D3219">
        <v>50000</v>
      </c>
    </row>
    <row r="3220" spans="1:4" x14ac:dyDescent="0.25">
      <c r="A3220" t="str">
        <f>T("   160100")</f>
        <v xml:space="preserve">   160100</v>
      </c>
      <c r="B3220" t="str">
        <f>T("   Saucisses, saucissons et produits simil., de viande, d'abats ou de sang; préparations alimentaires à base de ces produits")</f>
        <v xml:space="preserve">   Saucisses, saucissons et produits simil., de viande, d'abats ou de sang; préparations alimentaires à base de ces produits</v>
      </c>
      <c r="C3220">
        <v>136411739</v>
      </c>
      <c r="D3220">
        <v>182200</v>
      </c>
    </row>
    <row r="3221" spans="1:4" x14ac:dyDescent="0.25">
      <c r="A3221" t="str">
        <f>T("   160241")</f>
        <v xml:space="preserve">   160241</v>
      </c>
      <c r="B3221" t="str">
        <f>T("   Préparations et conserves de jambons et de morceaux de jambons des animaux de l'espèce porcine")</f>
        <v xml:space="preserve">   Préparations et conserves de jambons et de morceaux de jambons des animaux de l'espèce porcine</v>
      </c>
      <c r="C3221">
        <v>992704</v>
      </c>
      <c r="D3221">
        <v>508</v>
      </c>
    </row>
    <row r="3222" spans="1:4" x14ac:dyDescent="0.25">
      <c r="A3222" t="str">
        <f>T("   190190")</f>
        <v xml:space="preserve">   190190</v>
      </c>
      <c r="B3222" t="s">
        <v>50</v>
      </c>
      <c r="C3222">
        <v>3241493</v>
      </c>
      <c r="D3222">
        <v>20094</v>
      </c>
    </row>
    <row r="3223" spans="1:4" x14ac:dyDescent="0.25">
      <c r="A3223" t="str">
        <f>T("   190531")</f>
        <v xml:space="preserve">   190531</v>
      </c>
      <c r="B3223" t="str">
        <f>T("   Biscuits additionnés d'édulcorants")</f>
        <v xml:space="preserve">   Biscuits additionnés d'édulcorants</v>
      </c>
      <c r="C3223">
        <v>6691061</v>
      </c>
      <c r="D3223">
        <v>2277</v>
      </c>
    </row>
    <row r="3224" spans="1:4" x14ac:dyDescent="0.25">
      <c r="A3224" t="str">
        <f>T("   200490")</f>
        <v xml:space="preserve">   200490</v>
      </c>
      <c r="B3224"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3224">
        <v>19066548</v>
      </c>
      <c r="D3224">
        <v>57204</v>
      </c>
    </row>
    <row r="3225" spans="1:4" x14ac:dyDescent="0.25">
      <c r="A3225" t="str">
        <f>T("   210690")</f>
        <v xml:space="preserve">   210690</v>
      </c>
      <c r="B3225" t="str">
        <f>T("   Préparations alimentaires, n.d.a.")</f>
        <v xml:space="preserve">   Préparations alimentaires, n.d.a.</v>
      </c>
      <c r="C3225">
        <v>1952415</v>
      </c>
      <c r="D3225">
        <v>86</v>
      </c>
    </row>
    <row r="3226" spans="1:4" x14ac:dyDescent="0.25">
      <c r="A3226" t="str">
        <f>T("   220290")</f>
        <v xml:space="preserve">   220290</v>
      </c>
      <c r="B3226" t="str">
        <f>T("   BOISSONS NON-ALCOOLIQUES (À L'EXCL. DES EAUX, DES JUS DE FRUITS OU DE LÉGUMES AINSI QUE DU LAIT)")</f>
        <v xml:space="preserve">   BOISSONS NON-ALCOOLIQUES (À L'EXCL. DES EAUX, DES JUS DE FRUITS OU DE LÉGUMES AINSI QUE DU LAIT)</v>
      </c>
      <c r="C3226">
        <v>7084368</v>
      </c>
      <c r="D3226">
        <v>41282</v>
      </c>
    </row>
    <row r="3227" spans="1:4" x14ac:dyDescent="0.25">
      <c r="A3227" t="str">
        <f>T("   220300")</f>
        <v xml:space="preserve">   220300</v>
      </c>
      <c r="B3227" t="str">
        <f>T("   Bières de malt")</f>
        <v xml:space="preserve">   Bières de malt</v>
      </c>
      <c r="C3227">
        <v>30716082</v>
      </c>
      <c r="D3227">
        <v>123181</v>
      </c>
    </row>
    <row r="3228" spans="1:4" x14ac:dyDescent="0.25">
      <c r="A3228" t="str">
        <f>T("   300490")</f>
        <v xml:space="preserve">   300490</v>
      </c>
      <c r="B3228" t="s">
        <v>84</v>
      </c>
      <c r="C3228">
        <v>28026448</v>
      </c>
      <c r="D3228">
        <v>401</v>
      </c>
    </row>
    <row r="3229" spans="1:4" x14ac:dyDescent="0.25">
      <c r="A3229" t="str">
        <f>T("   300660")</f>
        <v xml:space="preserve">   300660</v>
      </c>
      <c r="B3229"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229">
        <v>67939140</v>
      </c>
      <c r="D3229">
        <v>559</v>
      </c>
    </row>
    <row r="3230" spans="1:4" x14ac:dyDescent="0.25">
      <c r="A3230" t="str">
        <f>T("   330790")</f>
        <v xml:space="preserve">   330790</v>
      </c>
      <c r="B3230" t="str">
        <f>T("   Dépilatoires, autres produits de parfumerie ou de toilette préparés et autres préparations cosmétiques, n.d.a.")</f>
        <v xml:space="preserve">   Dépilatoires, autres produits de parfumerie ou de toilette préparés et autres préparations cosmétiques, n.d.a.</v>
      </c>
      <c r="C3230">
        <v>200000</v>
      </c>
      <c r="D3230">
        <v>70</v>
      </c>
    </row>
    <row r="3231" spans="1:4" x14ac:dyDescent="0.25">
      <c r="A3231" t="str">
        <f>T("   380850")</f>
        <v xml:space="preserve">   380850</v>
      </c>
      <c r="B3231" t="s">
        <v>125</v>
      </c>
      <c r="C3231">
        <v>645402008</v>
      </c>
      <c r="D3231">
        <v>49738</v>
      </c>
    </row>
    <row r="3232" spans="1:4" x14ac:dyDescent="0.25">
      <c r="A3232" t="str">
        <f>T("   381600")</f>
        <v xml:space="preserve">   381600</v>
      </c>
      <c r="B3232"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232">
        <v>24552583</v>
      </c>
      <c r="D3232">
        <v>30870</v>
      </c>
    </row>
    <row r="3233" spans="1:4" x14ac:dyDescent="0.25">
      <c r="A3233" t="str">
        <f>T("   392490")</f>
        <v xml:space="preserve">   392490</v>
      </c>
      <c r="B3233" t="s">
        <v>157</v>
      </c>
      <c r="C3233">
        <v>4755000</v>
      </c>
      <c r="D3233">
        <v>4400</v>
      </c>
    </row>
    <row r="3234" spans="1:4" x14ac:dyDescent="0.25">
      <c r="A3234" t="str">
        <f>T("   400912")</f>
        <v xml:space="preserve">   400912</v>
      </c>
      <c r="B3234"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3234">
        <v>127218</v>
      </c>
      <c r="D3234">
        <v>1</v>
      </c>
    </row>
    <row r="3235" spans="1:4" x14ac:dyDescent="0.25">
      <c r="A3235" t="str">
        <f>T("   401212")</f>
        <v xml:space="preserve">   401212</v>
      </c>
      <c r="B3235" t="str">
        <f>T("   Pneumatiques rechapés, en caoutchouc, des types utilisés pour les autobus ou camions")</f>
        <v xml:space="preserve">   Pneumatiques rechapés, en caoutchouc, des types utilisés pour les autobus ou camions</v>
      </c>
      <c r="C3235">
        <v>175141</v>
      </c>
      <c r="D3235">
        <v>1000</v>
      </c>
    </row>
    <row r="3236" spans="1:4" x14ac:dyDescent="0.25">
      <c r="A3236" t="str">
        <f>T("   401220")</f>
        <v xml:space="preserve">   401220</v>
      </c>
      <c r="B3236" t="str">
        <f>T("   Pneumatiques usagés, en caoutchouc")</f>
        <v xml:space="preserve">   Pneumatiques usagés, en caoutchouc</v>
      </c>
      <c r="C3236">
        <v>12723658</v>
      </c>
      <c r="D3236">
        <v>53990</v>
      </c>
    </row>
    <row r="3237" spans="1:4" x14ac:dyDescent="0.25">
      <c r="A3237" t="str">
        <f>T("   401390")</f>
        <v xml:space="preserve">   401390</v>
      </c>
      <c r="B3237"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237">
        <v>1216806</v>
      </c>
      <c r="D3237">
        <v>16207</v>
      </c>
    </row>
    <row r="3238" spans="1:4" x14ac:dyDescent="0.25">
      <c r="A3238" t="str">
        <f>T("   401410")</f>
        <v xml:space="preserve">   401410</v>
      </c>
      <c r="B3238" t="str">
        <f>T("   Préservatifs en caoutchouc vulcanisé non durci")</f>
        <v xml:space="preserve">   Préservatifs en caoutchouc vulcanisé non durci</v>
      </c>
      <c r="C3238">
        <v>3037279</v>
      </c>
      <c r="D3238">
        <v>137</v>
      </c>
    </row>
    <row r="3239" spans="1:4" x14ac:dyDescent="0.25">
      <c r="A3239" t="str">
        <f>T("   480519")</f>
        <v xml:space="preserve">   480519</v>
      </c>
      <c r="B3239" t="s">
        <v>215</v>
      </c>
      <c r="C3239">
        <v>422760</v>
      </c>
      <c r="D3239">
        <v>200</v>
      </c>
    </row>
    <row r="3240" spans="1:4" x14ac:dyDescent="0.25">
      <c r="A3240" t="str">
        <f>T("   481200")</f>
        <v xml:space="preserve">   481200</v>
      </c>
      <c r="B3240" t="str">
        <f>T("   Blocs filtrants et plaques filtrantes, en pâte à papier")</f>
        <v xml:space="preserve">   Blocs filtrants et plaques filtrantes, en pâte à papier</v>
      </c>
      <c r="C3240">
        <v>5920023</v>
      </c>
      <c r="D3240">
        <v>184</v>
      </c>
    </row>
    <row r="3241" spans="1:4" x14ac:dyDescent="0.25">
      <c r="A3241" t="str">
        <f>T("   490199")</f>
        <v xml:space="preserve">   490199</v>
      </c>
      <c r="B324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241">
        <v>130000</v>
      </c>
      <c r="D3241">
        <v>25</v>
      </c>
    </row>
    <row r="3242" spans="1:4" x14ac:dyDescent="0.25">
      <c r="A3242" t="str">
        <f>T("   490599")</f>
        <v xml:space="preserve">   490599</v>
      </c>
      <c r="B3242"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3242">
        <v>88449</v>
      </c>
      <c r="D3242">
        <v>0.66</v>
      </c>
    </row>
    <row r="3243" spans="1:4" x14ac:dyDescent="0.25">
      <c r="A3243" t="str">
        <f>T("   491000")</f>
        <v xml:space="preserve">   491000</v>
      </c>
      <c r="B3243" t="str">
        <f>T("   Calendriers de tous genres, imprimés, y.c. les blocs de calendriers à effeuiller")</f>
        <v xml:space="preserve">   Calendriers de tous genres, imprimés, y.c. les blocs de calendriers à effeuiller</v>
      </c>
      <c r="C3243">
        <v>6588435</v>
      </c>
      <c r="D3243">
        <v>2148</v>
      </c>
    </row>
    <row r="3244" spans="1:4" x14ac:dyDescent="0.25">
      <c r="A3244" t="str">
        <f>T("   491110")</f>
        <v xml:space="preserve">   491110</v>
      </c>
      <c r="B3244" t="str">
        <f>T("   Imprimés publicitaires, catalogues commerciaux et simil.")</f>
        <v xml:space="preserve">   Imprimés publicitaires, catalogues commerciaux et simil.</v>
      </c>
      <c r="C3244">
        <v>300550</v>
      </c>
      <c r="D3244">
        <v>211</v>
      </c>
    </row>
    <row r="3245" spans="1:4" x14ac:dyDescent="0.25">
      <c r="A3245" t="str">
        <f>T("   560750")</f>
        <v xml:space="preserve">   560750</v>
      </c>
      <c r="B3245" t="str">
        <f>T("   Ficelles, cordes et cordages, de fibres synthétiques, tressés ou non, même imprégnés, enduits, recouverts ou gainés de caoutchouc ou de matière plastique (à l'excl. des produits en polyéthylène ou en polypropylène)")</f>
        <v xml:space="preserve">   Ficelles, cordes et cordages, de fibres synthétiques, tressés ou non, même imprégnés, enduits, recouverts ou gainés de caoutchouc ou de matière plastique (à l'excl. des produits en polyéthylène ou en polypropylène)</v>
      </c>
      <c r="C3245">
        <v>45228</v>
      </c>
      <c r="D3245">
        <v>3</v>
      </c>
    </row>
    <row r="3246" spans="1:4" x14ac:dyDescent="0.25">
      <c r="A3246" t="str">
        <f>T("   610990")</f>
        <v xml:space="preserve">   610990</v>
      </c>
      <c r="B3246" t="str">
        <f>T("   T-shirts et maillots de corps, en bonneterie, de matières textiles (sauf de coton)")</f>
        <v xml:space="preserve">   T-shirts et maillots de corps, en bonneterie, de matières textiles (sauf de coton)</v>
      </c>
      <c r="C3246">
        <v>126730</v>
      </c>
      <c r="D3246">
        <v>65</v>
      </c>
    </row>
    <row r="3247" spans="1:4" x14ac:dyDescent="0.25">
      <c r="A3247" t="str">
        <f>T("   620292")</f>
        <v xml:space="preserve">   620292</v>
      </c>
      <c r="B3247" t="s">
        <v>286</v>
      </c>
      <c r="C3247">
        <v>660000</v>
      </c>
      <c r="D3247">
        <v>2220</v>
      </c>
    </row>
    <row r="3248" spans="1:4" x14ac:dyDescent="0.25">
      <c r="A3248" t="str">
        <f>T("   620590")</f>
        <v xml:space="preserve">   620590</v>
      </c>
      <c r="B324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248">
        <v>2100000</v>
      </c>
      <c r="D3248">
        <v>2497</v>
      </c>
    </row>
    <row r="3249" spans="1:4" x14ac:dyDescent="0.25">
      <c r="A3249" t="str">
        <f>T("   621020")</f>
        <v xml:space="preserve">   621020</v>
      </c>
      <c r="B3249"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3249">
        <v>730000</v>
      </c>
      <c r="D3249">
        <v>3769</v>
      </c>
    </row>
    <row r="3250" spans="1:4" x14ac:dyDescent="0.25">
      <c r="A3250" t="str">
        <f>T("   621133")</f>
        <v xml:space="preserve">   621133</v>
      </c>
      <c r="B3250"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3250">
        <v>34962957</v>
      </c>
      <c r="D3250">
        <v>2616</v>
      </c>
    </row>
    <row r="3251" spans="1:4" x14ac:dyDescent="0.25">
      <c r="A3251" t="str">
        <f>T("   621790")</f>
        <v xml:space="preserve">   621790</v>
      </c>
      <c r="B3251" t="str">
        <f>T("   Parties de vêtements ou d'accessoires du vêtement, en tous types de matières textiles, n.d.a. (autres qu'en bonneterie)")</f>
        <v xml:space="preserve">   Parties de vêtements ou d'accessoires du vêtement, en tous types de matières textiles, n.d.a. (autres qu'en bonneterie)</v>
      </c>
      <c r="C3251">
        <v>400000</v>
      </c>
      <c r="D3251">
        <v>180</v>
      </c>
    </row>
    <row r="3252" spans="1:4" x14ac:dyDescent="0.25">
      <c r="A3252" t="str">
        <f>T("   630720")</f>
        <v xml:space="preserve">   630720</v>
      </c>
      <c r="B3252" t="str">
        <f>T("   Ceintures et gilets de sauvetage en tous types de matières textiles")</f>
        <v xml:space="preserve">   Ceintures et gilets de sauvetage en tous types de matières textiles</v>
      </c>
      <c r="C3252">
        <v>351358</v>
      </c>
      <c r="D3252">
        <v>26</v>
      </c>
    </row>
    <row r="3253" spans="1:4" x14ac:dyDescent="0.25">
      <c r="A3253" t="str">
        <f>T("   630900")</f>
        <v xml:space="preserve">   630900</v>
      </c>
      <c r="B3253" t="s">
        <v>300</v>
      </c>
      <c r="C3253">
        <v>38186572</v>
      </c>
      <c r="D3253">
        <v>65000</v>
      </c>
    </row>
    <row r="3254" spans="1:4" x14ac:dyDescent="0.25">
      <c r="A3254" t="str">
        <f>T("   640340")</f>
        <v xml:space="preserve">   640340</v>
      </c>
      <c r="B3254"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3254">
        <v>23605659</v>
      </c>
      <c r="D3254">
        <v>1767</v>
      </c>
    </row>
    <row r="3255" spans="1:4" x14ac:dyDescent="0.25">
      <c r="A3255" t="str">
        <f>T("   650610")</f>
        <v xml:space="preserve">   650610</v>
      </c>
      <c r="B3255" t="str">
        <f>T("   Coiffures de sécurité, même garnies")</f>
        <v xml:space="preserve">   Coiffures de sécurité, même garnies</v>
      </c>
      <c r="C3255">
        <v>3246071</v>
      </c>
      <c r="D3255">
        <v>243</v>
      </c>
    </row>
    <row r="3256" spans="1:4" x14ac:dyDescent="0.25">
      <c r="A3256" t="str">
        <f>T("   732394")</f>
        <v xml:space="preserve">   732394</v>
      </c>
      <c r="B3256" t="s">
        <v>389</v>
      </c>
      <c r="C3256">
        <v>1000000</v>
      </c>
      <c r="D3256">
        <v>1521</v>
      </c>
    </row>
    <row r="3257" spans="1:4" x14ac:dyDescent="0.25">
      <c r="A3257" t="str">
        <f>T("   732399")</f>
        <v xml:space="preserve">   732399</v>
      </c>
      <c r="B3257" t="s">
        <v>390</v>
      </c>
      <c r="C3257">
        <v>700000</v>
      </c>
      <c r="D3257">
        <v>600</v>
      </c>
    </row>
    <row r="3258" spans="1:4" x14ac:dyDescent="0.25">
      <c r="A3258" t="str">
        <f>T("   732690")</f>
        <v xml:space="preserve">   732690</v>
      </c>
      <c r="B325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258">
        <v>2114093</v>
      </c>
      <c r="D3258">
        <v>34</v>
      </c>
    </row>
    <row r="3259" spans="1:4" x14ac:dyDescent="0.25">
      <c r="A3259" t="str">
        <f>T("   761090")</f>
        <v xml:space="preserve">   761090</v>
      </c>
      <c r="B325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3259">
        <v>9587241</v>
      </c>
      <c r="D3259">
        <v>1350</v>
      </c>
    </row>
    <row r="3260" spans="1:4" x14ac:dyDescent="0.25">
      <c r="A3260" t="str">
        <f>T("   820510")</f>
        <v xml:space="preserve">   820510</v>
      </c>
      <c r="B3260" t="str">
        <f>T("   Outils de perçage, de filetage ou de taraudage, maniés à la main")</f>
        <v xml:space="preserve">   Outils de perçage, de filetage ou de taraudage, maniés à la main</v>
      </c>
      <c r="C3260">
        <v>18669925</v>
      </c>
      <c r="D3260">
        <v>301</v>
      </c>
    </row>
    <row r="3261" spans="1:4" x14ac:dyDescent="0.25">
      <c r="A3261" t="str">
        <f>T("   820900")</f>
        <v xml:space="preserve">   820900</v>
      </c>
      <c r="B3261" t="str">
        <f>T("   PLAQUETTES, BAGUETTES, POINTES ET OBJETS SIMIL. POUR OUTILS, NON-MONTÉS, CONSTITUÉS PAR DES CARBURES MÉTALLIQUES FRITTÉS OU DES CERMETS")</f>
        <v xml:space="preserve">   PLAQUETTES, BAGUETTES, POINTES ET OBJETS SIMIL. POUR OUTILS, NON-MONTÉS, CONSTITUÉS PAR DES CARBURES MÉTALLIQUES FRITTÉS OU DES CERMETS</v>
      </c>
      <c r="C3261">
        <v>2701899</v>
      </c>
      <c r="D3261">
        <v>121</v>
      </c>
    </row>
    <row r="3262" spans="1:4" x14ac:dyDescent="0.25">
      <c r="A3262" t="str">
        <f>T("   840590")</f>
        <v xml:space="preserve">   840590</v>
      </c>
      <c r="B3262"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3262">
        <v>59755988</v>
      </c>
      <c r="D3262">
        <v>8500</v>
      </c>
    </row>
    <row r="3263" spans="1:4" x14ac:dyDescent="0.25">
      <c r="A3263" t="str">
        <f>T("   840790")</f>
        <v xml:space="preserve">   840790</v>
      </c>
      <c r="B3263" t="s">
        <v>414</v>
      </c>
      <c r="C3263">
        <v>750419</v>
      </c>
      <c r="D3263">
        <v>1250</v>
      </c>
    </row>
    <row r="3264" spans="1:4" x14ac:dyDescent="0.25">
      <c r="A3264" t="str">
        <f>T("   840890")</f>
        <v xml:space="preserve">   840890</v>
      </c>
      <c r="B3264" t="s">
        <v>416</v>
      </c>
      <c r="C3264">
        <v>2600030</v>
      </c>
      <c r="D3264">
        <v>17849</v>
      </c>
    </row>
    <row r="3265" spans="1:4" x14ac:dyDescent="0.25">
      <c r="A3265" t="str">
        <f>T("   841370")</f>
        <v xml:space="preserve">   841370</v>
      </c>
      <c r="B3265" t="s">
        <v>419</v>
      </c>
      <c r="C3265">
        <v>1455864</v>
      </c>
      <c r="D3265">
        <v>84</v>
      </c>
    </row>
    <row r="3266" spans="1:4" x14ac:dyDescent="0.25">
      <c r="A3266" t="str">
        <f>T("   841829")</f>
        <v xml:space="preserve">   841829</v>
      </c>
      <c r="B3266" t="str">
        <f>T("   Réfrigérateurs ménagers à absorption, non-électriques")</f>
        <v xml:space="preserve">   Réfrigérateurs ménagers à absorption, non-électriques</v>
      </c>
      <c r="C3266">
        <v>2428364</v>
      </c>
      <c r="D3266">
        <v>406</v>
      </c>
    </row>
    <row r="3267" spans="1:4" x14ac:dyDescent="0.25">
      <c r="A3267" t="str">
        <f>T("   842129")</f>
        <v xml:space="preserve">   842129</v>
      </c>
      <c r="B326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3267">
        <v>5910407</v>
      </c>
      <c r="D3267">
        <v>201</v>
      </c>
    </row>
    <row r="3268" spans="1:4" x14ac:dyDescent="0.25">
      <c r="A3268" t="str">
        <f>T("   842139")</f>
        <v xml:space="preserve">   842139</v>
      </c>
      <c r="B326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268">
        <v>6134310</v>
      </c>
      <c r="D3268">
        <v>129</v>
      </c>
    </row>
    <row r="3269" spans="1:4" x14ac:dyDescent="0.25">
      <c r="A3269" t="str">
        <f>T("   842290")</f>
        <v xml:space="preserve">   842290</v>
      </c>
      <c r="B3269"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269">
        <v>968197</v>
      </c>
      <c r="D3269">
        <v>44</v>
      </c>
    </row>
    <row r="3270" spans="1:4" x14ac:dyDescent="0.25">
      <c r="A3270" t="str">
        <f>T("   842940")</f>
        <v xml:space="preserve">   842940</v>
      </c>
      <c r="B3270" t="str">
        <f>T("   Rouleaux compresseurs et autres compacteuses, autopropulsés")</f>
        <v xml:space="preserve">   Rouleaux compresseurs et autres compacteuses, autopropulsés</v>
      </c>
      <c r="C3270">
        <v>3978250</v>
      </c>
      <c r="D3270">
        <v>2000</v>
      </c>
    </row>
    <row r="3271" spans="1:4" x14ac:dyDescent="0.25">
      <c r="A3271" t="str">
        <f>T("   843149")</f>
        <v xml:space="preserve">   843149</v>
      </c>
      <c r="B3271" t="str">
        <f>T("   Parties de machines et appareils du n° 8426, 8429 ou 8430, n.d.a.")</f>
        <v xml:space="preserve">   Parties de machines et appareils du n° 8426, 8429 ou 8430, n.d.a.</v>
      </c>
      <c r="C3271">
        <v>306182</v>
      </c>
      <c r="D3271">
        <v>5</v>
      </c>
    </row>
    <row r="3272" spans="1:4" x14ac:dyDescent="0.25">
      <c r="A3272" t="str">
        <f>T("   847130")</f>
        <v xml:space="preserve">   847130</v>
      </c>
      <c r="B327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272">
        <v>88459248</v>
      </c>
      <c r="D3272">
        <v>3781</v>
      </c>
    </row>
    <row r="3273" spans="1:4" x14ac:dyDescent="0.25">
      <c r="A3273" t="str">
        <f>T("   847180")</f>
        <v xml:space="preserve">   847180</v>
      </c>
      <c r="B327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273">
        <v>8931248</v>
      </c>
      <c r="D3273">
        <v>405</v>
      </c>
    </row>
    <row r="3274" spans="1:4" x14ac:dyDescent="0.25">
      <c r="A3274" t="str">
        <f>T("   847190")</f>
        <v xml:space="preserve">   847190</v>
      </c>
      <c r="B327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274">
        <v>92555922</v>
      </c>
      <c r="D3274">
        <v>4246</v>
      </c>
    </row>
    <row r="3275" spans="1:4" x14ac:dyDescent="0.25">
      <c r="A3275" t="str">
        <f>T("   847490")</f>
        <v xml:space="preserve">   847490</v>
      </c>
      <c r="B3275" t="str">
        <f>T("   Parties des machines et appareils pour le travail des matières minérales du n° 8474, n.d.a.")</f>
        <v xml:space="preserve">   Parties des machines et appareils pour le travail des matières minérales du n° 8474, n.d.a.</v>
      </c>
      <c r="C3275">
        <v>15234671</v>
      </c>
      <c r="D3275">
        <v>378</v>
      </c>
    </row>
    <row r="3276" spans="1:4" x14ac:dyDescent="0.25">
      <c r="A3276" t="str">
        <f>T("   847790")</f>
        <v xml:space="preserve">   847790</v>
      </c>
      <c r="B3276"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276">
        <v>424207</v>
      </c>
      <c r="D3276">
        <v>0.7</v>
      </c>
    </row>
    <row r="3277" spans="1:4" x14ac:dyDescent="0.25">
      <c r="A3277" t="str">
        <f>T("   848350")</f>
        <v xml:space="preserve">   848350</v>
      </c>
      <c r="B3277" t="str">
        <f>T("   Volants et poulies, y.c. les poulies à moufles")</f>
        <v xml:space="preserve">   Volants et poulies, y.c. les poulies à moufles</v>
      </c>
      <c r="C3277">
        <v>2812101</v>
      </c>
      <c r="D3277">
        <v>245</v>
      </c>
    </row>
    <row r="3278" spans="1:4" x14ac:dyDescent="0.25">
      <c r="A3278" t="str">
        <f>T("   848490")</f>
        <v xml:space="preserve">   848490</v>
      </c>
      <c r="B3278" t="str">
        <f>T("   Jeux ou assortiments de joints de composition différente présentés en pochettes, enveloppes ou emballages analogues")</f>
        <v xml:space="preserve">   Jeux ou assortiments de joints de composition différente présentés en pochettes, enveloppes ou emballages analogues</v>
      </c>
      <c r="C3278">
        <v>7929901</v>
      </c>
      <c r="D3278">
        <v>356</v>
      </c>
    </row>
    <row r="3279" spans="1:4" x14ac:dyDescent="0.25">
      <c r="A3279" t="str">
        <f>T("   850440")</f>
        <v xml:space="preserve">   850440</v>
      </c>
      <c r="B3279" t="str">
        <f>T("   CONVERTISSEURS STATIQUES")</f>
        <v xml:space="preserve">   CONVERTISSEURS STATIQUES</v>
      </c>
      <c r="C3279">
        <v>3424101</v>
      </c>
      <c r="D3279">
        <v>41</v>
      </c>
    </row>
    <row r="3280" spans="1:4" x14ac:dyDescent="0.25">
      <c r="A3280" t="str">
        <f>T("   850780")</f>
        <v xml:space="preserve">   850780</v>
      </c>
      <c r="B3280" t="str">
        <f>T("   Accumulateurs électriques (sauf hors d'usage et autres qu'au plomb, au nickel-cadmium ou au nickel-fer)")</f>
        <v xml:space="preserve">   Accumulateurs électriques (sauf hors d'usage et autres qu'au plomb, au nickel-cadmium ou au nickel-fer)</v>
      </c>
      <c r="C3280">
        <v>1150709</v>
      </c>
      <c r="D3280">
        <v>9</v>
      </c>
    </row>
    <row r="3281" spans="1:4" x14ac:dyDescent="0.25">
      <c r="A3281" t="str">
        <f>T("   851711")</f>
        <v xml:space="preserve">   851711</v>
      </c>
      <c r="B3281" t="str">
        <f>T("   Postes téléphoniques d'usagers pour la téléphonie par fil à combinés sans fil")</f>
        <v xml:space="preserve">   Postes téléphoniques d'usagers pour la téléphonie par fil à combinés sans fil</v>
      </c>
      <c r="C3281">
        <v>1315563</v>
      </c>
      <c r="D3281">
        <v>12</v>
      </c>
    </row>
    <row r="3282" spans="1:4" x14ac:dyDescent="0.25">
      <c r="A3282" t="str">
        <f>T("   851762")</f>
        <v xml:space="preserve">   851762</v>
      </c>
      <c r="B3282" t="s">
        <v>480</v>
      </c>
      <c r="C3282">
        <v>4737030</v>
      </c>
      <c r="D3282">
        <v>35</v>
      </c>
    </row>
    <row r="3283" spans="1:4" x14ac:dyDescent="0.25">
      <c r="A3283" t="str">
        <f>T("   851769")</f>
        <v xml:space="preserve">   851769</v>
      </c>
      <c r="B3283" t="s">
        <v>481</v>
      </c>
      <c r="C3283">
        <v>9809856</v>
      </c>
      <c r="D3283">
        <v>67</v>
      </c>
    </row>
    <row r="3284" spans="1:4" x14ac:dyDescent="0.25">
      <c r="A3284" t="str">
        <f>T("   851770")</f>
        <v xml:space="preserve">   851770</v>
      </c>
      <c r="B3284"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3284">
        <v>1720661</v>
      </c>
      <c r="D3284">
        <v>173.1</v>
      </c>
    </row>
    <row r="3285" spans="1:4" x14ac:dyDescent="0.25">
      <c r="A3285" t="str">
        <f>T("   851780")</f>
        <v xml:space="preserve">   851780</v>
      </c>
      <c r="B3285" t="s">
        <v>482</v>
      </c>
      <c r="C3285">
        <v>1393229</v>
      </c>
      <c r="D3285">
        <v>15</v>
      </c>
    </row>
    <row r="3286" spans="1:4" x14ac:dyDescent="0.25">
      <c r="A3286" t="str">
        <f>T("   851781")</f>
        <v xml:space="preserve">   851781</v>
      </c>
      <c r="B3286" t="str">
        <f>T("   APPAREILS ÉLECTRIQUES POUR LA TELEPHONIE PAR FIL (AUTRES QUE POSTES TELEPHONIQUES D'USAGERS, APPAREILS DE COMMUTATION ET EMETTEUR-RÉCEPTEUR POUR LA TELECOMMUNICATION PAR COURANT PORTEUR)")</f>
        <v xml:space="preserve">   APPAREILS ÉLECTRIQUES POUR LA TELEPHONIE PAR FIL (AUTRES QUE POSTES TELEPHONIQUES D'USAGERS, APPAREILS DE COMMUTATION ET EMETTEUR-RÉCEPTEUR POUR LA TELECOMMUNICATION PAR COURANT PORTEUR)</v>
      </c>
      <c r="C3286">
        <v>311581</v>
      </c>
      <c r="D3286">
        <v>26</v>
      </c>
    </row>
    <row r="3287" spans="1:4" x14ac:dyDescent="0.25">
      <c r="A3287" t="str">
        <f>T("   852359")</f>
        <v xml:space="preserve">   852359</v>
      </c>
      <c r="B3287" t="s">
        <v>489</v>
      </c>
      <c r="C3287">
        <v>691333</v>
      </c>
      <c r="D3287">
        <v>64</v>
      </c>
    </row>
    <row r="3288" spans="1:4" x14ac:dyDescent="0.25">
      <c r="A3288" t="str">
        <f>T("   852380")</f>
        <v xml:space="preserve">   852380</v>
      </c>
      <c r="B3288" t="s">
        <v>490</v>
      </c>
      <c r="C3288">
        <v>42026</v>
      </c>
      <c r="D3288">
        <v>0.4</v>
      </c>
    </row>
    <row r="3289" spans="1:4" x14ac:dyDescent="0.25">
      <c r="A3289" t="str">
        <f>T("   852990")</f>
        <v xml:space="preserve">   852990</v>
      </c>
      <c r="B3289" t="s">
        <v>496</v>
      </c>
      <c r="C3289">
        <v>10369068</v>
      </c>
      <c r="D3289">
        <v>213</v>
      </c>
    </row>
    <row r="3290" spans="1:4" x14ac:dyDescent="0.25">
      <c r="A3290" t="str">
        <f>T("   870120")</f>
        <v xml:space="preserve">   870120</v>
      </c>
      <c r="B3290" t="str">
        <f>T("   Tracteurs routiers pour semi-remorques")</f>
        <v xml:space="preserve">   Tracteurs routiers pour semi-remorques</v>
      </c>
      <c r="C3290">
        <v>11832262</v>
      </c>
      <c r="D3290">
        <v>24600</v>
      </c>
    </row>
    <row r="3291" spans="1:4" x14ac:dyDescent="0.25">
      <c r="A3291" t="str">
        <f>T("   870290")</f>
        <v xml:space="preserve">   870290</v>
      </c>
      <c r="B3291" t="s">
        <v>504</v>
      </c>
      <c r="C3291">
        <v>2400000</v>
      </c>
      <c r="D3291">
        <v>2910</v>
      </c>
    </row>
    <row r="3292" spans="1:4" x14ac:dyDescent="0.25">
      <c r="A3292" t="str">
        <f>T("   870322")</f>
        <v xml:space="preserve">   870322</v>
      </c>
      <c r="B3292" t="s">
        <v>506</v>
      </c>
      <c r="C3292">
        <v>14400000</v>
      </c>
      <c r="D3292">
        <v>12275</v>
      </c>
    </row>
    <row r="3293" spans="1:4" x14ac:dyDescent="0.25">
      <c r="A3293" t="str">
        <f>T("   870323")</f>
        <v xml:space="preserve">   870323</v>
      </c>
      <c r="B3293" t="s">
        <v>507</v>
      </c>
      <c r="C3293">
        <v>43870599</v>
      </c>
      <c r="D3293">
        <v>34070</v>
      </c>
    </row>
    <row r="3294" spans="1:4" x14ac:dyDescent="0.25">
      <c r="A3294" t="str">
        <f>T("   870332")</f>
        <v xml:space="preserve">   870332</v>
      </c>
      <c r="B3294" t="s">
        <v>510</v>
      </c>
      <c r="C3294">
        <v>4853260</v>
      </c>
      <c r="D3294">
        <v>1653</v>
      </c>
    </row>
    <row r="3295" spans="1:4" x14ac:dyDescent="0.25">
      <c r="A3295" t="str">
        <f>T("   870421")</f>
        <v xml:space="preserve">   870421</v>
      </c>
      <c r="B3295" t="s">
        <v>512</v>
      </c>
      <c r="C3295">
        <v>2400000</v>
      </c>
      <c r="D3295">
        <v>3250</v>
      </c>
    </row>
    <row r="3296" spans="1:4" x14ac:dyDescent="0.25">
      <c r="A3296" t="str">
        <f>T("   870423")</f>
        <v xml:space="preserve">   870423</v>
      </c>
      <c r="B3296" t="s">
        <v>514</v>
      </c>
      <c r="C3296">
        <v>2211914</v>
      </c>
      <c r="D3296">
        <v>3500</v>
      </c>
    </row>
    <row r="3297" spans="1:4" x14ac:dyDescent="0.25">
      <c r="A3297" t="str">
        <f>T("   870431")</f>
        <v xml:space="preserve">   870431</v>
      </c>
      <c r="B3297" t="s">
        <v>515</v>
      </c>
      <c r="C3297">
        <v>7255073</v>
      </c>
      <c r="D3297">
        <v>7531</v>
      </c>
    </row>
    <row r="3298" spans="1:4" x14ac:dyDescent="0.25">
      <c r="A3298" t="str">
        <f>T("   870600")</f>
        <v xml:space="preserve">   870600</v>
      </c>
      <c r="B3298" t="s">
        <v>518</v>
      </c>
      <c r="C3298">
        <v>2682876</v>
      </c>
      <c r="D3298">
        <v>18000</v>
      </c>
    </row>
    <row r="3299" spans="1:4" x14ac:dyDescent="0.25">
      <c r="A3299" t="str">
        <f>T("   870880")</f>
        <v xml:space="preserve">   870880</v>
      </c>
      <c r="B3299" t="s">
        <v>520</v>
      </c>
      <c r="C3299">
        <v>350000</v>
      </c>
      <c r="D3299">
        <v>651</v>
      </c>
    </row>
    <row r="3300" spans="1:4" x14ac:dyDescent="0.25">
      <c r="A3300" t="str">
        <f>T("   870891")</f>
        <v xml:space="preserve">   870891</v>
      </c>
      <c r="B3300"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3300">
        <v>201702</v>
      </c>
      <c r="D3300">
        <v>14</v>
      </c>
    </row>
    <row r="3301" spans="1:4" x14ac:dyDescent="0.25">
      <c r="A3301" t="str">
        <f>T("   871411")</f>
        <v xml:space="preserve">   871411</v>
      </c>
      <c r="B3301" t="str">
        <f>T("   Selles de motocycles, y.c. de cyclomoteurs")</f>
        <v xml:space="preserve">   Selles de motocycles, y.c. de cyclomoteurs</v>
      </c>
      <c r="C3301">
        <v>5000000</v>
      </c>
      <c r="D3301">
        <v>44800</v>
      </c>
    </row>
    <row r="3302" spans="1:4" x14ac:dyDescent="0.25">
      <c r="A3302" t="str">
        <f>T("   871640")</f>
        <v xml:space="preserve">   871640</v>
      </c>
      <c r="B330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302">
        <v>2000000</v>
      </c>
      <c r="D3302">
        <v>5000</v>
      </c>
    </row>
    <row r="3303" spans="1:4" x14ac:dyDescent="0.25">
      <c r="A3303" t="str">
        <f>T("   901812")</f>
        <v xml:space="preserve">   901812</v>
      </c>
      <c r="B3303" t="str">
        <f>T("   Appareils de diagnostic par balayage ultrasonique [scanners]")</f>
        <v xml:space="preserve">   Appareils de diagnostic par balayage ultrasonique [scanners]</v>
      </c>
      <c r="C3303">
        <v>266428</v>
      </c>
      <c r="D3303">
        <v>100</v>
      </c>
    </row>
    <row r="3304" spans="1:4" x14ac:dyDescent="0.25">
      <c r="A3304" t="str">
        <f>T("   901819")</f>
        <v xml:space="preserve">   901819</v>
      </c>
      <c r="B3304" t="s">
        <v>527</v>
      </c>
      <c r="C3304">
        <v>3055462</v>
      </c>
      <c r="D3304">
        <v>640</v>
      </c>
    </row>
    <row r="3305" spans="1:4" x14ac:dyDescent="0.25">
      <c r="A3305" t="str">
        <f>T("   901831")</f>
        <v xml:space="preserve">   901831</v>
      </c>
      <c r="B3305" t="str">
        <f>T("   Seringues, avec ou sans aiguilles, pour la médecine")</f>
        <v xml:space="preserve">   Seringues, avec ou sans aiguilles, pour la médecine</v>
      </c>
      <c r="C3305">
        <v>17088905</v>
      </c>
      <c r="D3305">
        <v>12728</v>
      </c>
    </row>
    <row r="3306" spans="1:4" x14ac:dyDescent="0.25">
      <c r="A3306" t="str">
        <f>T("   901839")</f>
        <v xml:space="preserve">   901839</v>
      </c>
      <c r="B3306"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3306">
        <v>1262855</v>
      </c>
      <c r="D3306">
        <v>30</v>
      </c>
    </row>
    <row r="3307" spans="1:4" x14ac:dyDescent="0.25">
      <c r="A3307" t="str">
        <f>T("   901890")</f>
        <v xml:space="preserve">   901890</v>
      </c>
      <c r="B3307" t="str">
        <f>T("   Instruments et appareils pour la médecine, la chirurgie ou l'art vétérinaire, n.d.a.")</f>
        <v xml:space="preserve">   Instruments et appareils pour la médecine, la chirurgie ou l'art vétérinaire, n.d.a.</v>
      </c>
      <c r="C3307">
        <v>5376831</v>
      </c>
      <c r="D3307">
        <v>9352</v>
      </c>
    </row>
    <row r="3308" spans="1:4" x14ac:dyDescent="0.25">
      <c r="A3308" t="str">
        <f>T("   940290")</f>
        <v xml:space="preserve">   940290</v>
      </c>
      <c r="B3308"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308">
        <v>3321822</v>
      </c>
      <c r="D3308">
        <v>58586</v>
      </c>
    </row>
    <row r="3309" spans="1:4" x14ac:dyDescent="0.25">
      <c r="A3309" t="str">
        <f>T("   940340")</f>
        <v xml:space="preserve">   940340</v>
      </c>
      <c r="B3309" t="str">
        <f>T("   Meubles de cuisine, en bois (sauf sièges)")</f>
        <v xml:space="preserve">   Meubles de cuisine, en bois (sauf sièges)</v>
      </c>
      <c r="C3309">
        <v>3230000</v>
      </c>
      <c r="D3309">
        <v>9938</v>
      </c>
    </row>
    <row r="3310" spans="1:4" x14ac:dyDescent="0.25">
      <c r="A3310" t="str">
        <f>T("   940350")</f>
        <v xml:space="preserve">   940350</v>
      </c>
      <c r="B3310" t="str">
        <f>T("   Meubles pour chambres à coucher, en bois (sauf sièges)")</f>
        <v xml:space="preserve">   Meubles pour chambres à coucher, en bois (sauf sièges)</v>
      </c>
      <c r="C3310">
        <v>3200000</v>
      </c>
      <c r="D3310">
        <v>4200</v>
      </c>
    </row>
    <row r="3311" spans="1:4" x14ac:dyDescent="0.25">
      <c r="A3311" t="str">
        <f>T("   940360")</f>
        <v xml:space="preserve">   940360</v>
      </c>
      <c r="B3311" t="str">
        <f>T("   Meubles en bois (autres que pour bureaux, cuisines ou chambres à coucher et autres que sièges)")</f>
        <v xml:space="preserve">   Meubles en bois (autres que pour bureaux, cuisines ou chambres à coucher et autres que sièges)</v>
      </c>
      <c r="C3311">
        <v>10132751</v>
      </c>
      <c r="D3311">
        <v>6000</v>
      </c>
    </row>
    <row r="3312" spans="1:4" x14ac:dyDescent="0.25">
      <c r="A3312" t="str">
        <f>T("DO")</f>
        <v>DO</v>
      </c>
      <c r="B3312" t="str">
        <f>T("Dominicaine, République")</f>
        <v>Dominicaine, République</v>
      </c>
    </row>
    <row r="3313" spans="1:4" x14ac:dyDescent="0.25">
      <c r="A3313" t="str">
        <f>T("   ZZ_Total_Produit_SH6")</f>
        <v xml:space="preserve">   ZZ_Total_Produit_SH6</v>
      </c>
      <c r="B3313" t="str">
        <f>T("   ZZ_Total_Produit_SH6")</f>
        <v xml:space="preserve">   ZZ_Total_Produit_SH6</v>
      </c>
      <c r="C3313">
        <v>8081863</v>
      </c>
      <c r="D3313">
        <v>5975</v>
      </c>
    </row>
    <row r="3314" spans="1:4" x14ac:dyDescent="0.25">
      <c r="A3314" t="str">
        <f>T("   300230")</f>
        <v xml:space="preserve">   300230</v>
      </c>
      <c r="B3314" t="str">
        <f>T("   Vaccins pour la médecine vétérinaire")</f>
        <v xml:space="preserve">   Vaccins pour la médecine vétérinaire</v>
      </c>
      <c r="C3314">
        <v>5899000</v>
      </c>
      <c r="D3314">
        <v>2070</v>
      </c>
    </row>
    <row r="3315" spans="1:4" x14ac:dyDescent="0.25">
      <c r="A3315" t="str">
        <f>T("   620630")</f>
        <v xml:space="preserve">   620630</v>
      </c>
      <c r="B3315"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3315">
        <v>300000</v>
      </c>
      <c r="D3315">
        <v>164</v>
      </c>
    </row>
    <row r="3316" spans="1:4" x14ac:dyDescent="0.25">
      <c r="A3316" t="str">
        <f>T("   621050")</f>
        <v xml:space="preserve">   621050</v>
      </c>
      <c r="B3316" t="s">
        <v>295</v>
      </c>
      <c r="C3316">
        <v>1542863</v>
      </c>
      <c r="D3316">
        <v>3589</v>
      </c>
    </row>
    <row r="3317" spans="1:4" x14ac:dyDescent="0.25">
      <c r="A3317" t="str">
        <f>T("   840991")</f>
        <v xml:space="preserve">   840991</v>
      </c>
      <c r="B3317"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3317">
        <v>280000</v>
      </c>
      <c r="D3317">
        <v>92</v>
      </c>
    </row>
    <row r="3318" spans="1:4" x14ac:dyDescent="0.25">
      <c r="A3318" t="str">
        <f>T("   847190")</f>
        <v xml:space="preserve">   847190</v>
      </c>
      <c r="B331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318">
        <v>10000</v>
      </c>
      <c r="D3318">
        <v>1</v>
      </c>
    </row>
    <row r="3319" spans="1:4" x14ac:dyDescent="0.25">
      <c r="A3319" t="str">
        <f>T("   851821")</f>
        <v xml:space="preserve">   851821</v>
      </c>
      <c r="B3319" t="str">
        <f>T("   Haut-parleur unique monté dans son enceinte")</f>
        <v xml:space="preserve">   Haut-parleur unique monté dans son enceinte</v>
      </c>
      <c r="C3319">
        <v>50000</v>
      </c>
      <c r="D3319">
        <v>59</v>
      </c>
    </row>
    <row r="3320" spans="1:4" x14ac:dyDescent="0.25">
      <c r="A3320" t="str">
        <f>T("DZ")</f>
        <v>DZ</v>
      </c>
      <c r="B3320" t="str">
        <f>T("Algérie")</f>
        <v>Algérie</v>
      </c>
    </row>
    <row r="3321" spans="1:4" x14ac:dyDescent="0.25">
      <c r="A3321" t="str">
        <f>T("   ZZ_Total_Produit_SH6")</f>
        <v xml:space="preserve">   ZZ_Total_Produit_SH6</v>
      </c>
      <c r="B3321" t="str">
        <f>T("   ZZ_Total_Produit_SH6")</f>
        <v xml:space="preserve">   ZZ_Total_Produit_SH6</v>
      </c>
      <c r="C3321">
        <v>157800279.89500001</v>
      </c>
      <c r="D3321">
        <v>984459</v>
      </c>
    </row>
    <row r="3322" spans="1:4" x14ac:dyDescent="0.25">
      <c r="A3322" t="str">
        <f>T("   070190")</f>
        <v xml:space="preserve">   070190</v>
      </c>
      <c r="B3322" t="str">
        <f>T("   Pommes de terre, à l'état frais ou réfrigéré (à l'excl. des pommes de terre de semence)")</f>
        <v xml:space="preserve">   Pommes de terre, à l'état frais ou réfrigéré (à l'excl. des pommes de terre de semence)</v>
      </c>
      <c r="C3322">
        <v>4125000</v>
      </c>
      <c r="D3322">
        <v>25000</v>
      </c>
    </row>
    <row r="3323" spans="1:4" x14ac:dyDescent="0.25">
      <c r="A3323" t="str">
        <f>T("   170199")</f>
        <v xml:space="preserve">   170199</v>
      </c>
      <c r="B332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323">
        <v>114006808.895</v>
      </c>
      <c r="D3323">
        <v>525000</v>
      </c>
    </row>
    <row r="3324" spans="1:4" x14ac:dyDescent="0.25">
      <c r="A3324" t="str">
        <f>T("   252321")</f>
        <v xml:space="preserve">   252321</v>
      </c>
      <c r="B3324" t="str">
        <f>T("   Ciments Portland blancs, même colorés artificiellement")</f>
        <v xml:space="preserve">   Ciments Portland blancs, même colorés artificiellement</v>
      </c>
      <c r="C3324">
        <v>15659722</v>
      </c>
      <c r="D3324">
        <v>232000</v>
      </c>
    </row>
    <row r="3325" spans="1:4" x14ac:dyDescent="0.25">
      <c r="A3325" t="str">
        <f>T("   271113")</f>
        <v xml:space="preserve">   271113</v>
      </c>
      <c r="B3325" t="str">
        <f>T("   Butanes, liquéfiés (à l'excl. des butanes d'une pureté &gt;= 95% en n-butane ou en isobutane)")</f>
        <v xml:space="preserve">   Butanes, liquéfiés (à l'excl. des butanes d'une pureté &gt;= 95% en n-butane ou en isobutane)</v>
      </c>
      <c r="C3325">
        <v>10000000</v>
      </c>
      <c r="D3325">
        <v>200000</v>
      </c>
    </row>
    <row r="3326" spans="1:4" x14ac:dyDescent="0.25">
      <c r="A3326" t="str">
        <f>T("   330610")</f>
        <v xml:space="preserve">   330610</v>
      </c>
      <c r="B3326" t="str">
        <f>T("   Dentifrices, préparés, même des types utilisés par les dentistes")</f>
        <v xml:space="preserve">   Dentifrices, préparés, même des types utilisés par les dentistes</v>
      </c>
      <c r="C3326">
        <v>30000</v>
      </c>
      <c r="D3326">
        <v>15</v>
      </c>
    </row>
    <row r="3327" spans="1:4" x14ac:dyDescent="0.25">
      <c r="A3327" t="str">
        <f>T("   520859")</f>
        <v xml:space="preserve">   520859</v>
      </c>
      <c r="B3327" t="str">
        <f>T("   TISSUS DE COTON, IMPRIMÉS, CONTENANT &gt;= 85% EN POIDS DE COTON, D'UN POIDS &lt;= 200 G/M² (À L'EXCL. DES TISSUS À ARMURE TOILE)")</f>
        <v xml:space="preserve">   TISSUS DE COTON, IMPRIMÉS, CONTENANT &gt;= 85% EN POIDS DE COTON, D'UN POIDS &lt;= 200 G/M² (À L'EXCL. DES TISSUS À ARMURE TOILE)</v>
      </c>
      <c r="C3327">
        <v>1010440</v>
      </c>
      <c r="D3327">
        <v>1366</v>
      </c>
    </row>
    <row r="3328" spans="1:4" x14ac:dyDescent="0.25">
      <c r="A3328" t="str">
        <f>T("   847190")</f>
        <v xml:space="preserve">   847190</v>
      </c>
      <c r="B332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328">
        <v>11962143</v>
      </c>
      <c r="D3328">
        <v>986</v>
      </c>
    </row>
    <row r="3329" spans="1:4" x14ac:dyDescent="0.25">
      <c r="A3329" t="str">
        <f>T("   851769")</f>
        <v xml:space="preserve">   851769</v>
      </c>
      <c r="B3329" t="s">
        <v>481</v>
      </c>
      <c r="C3329">
        <v>976166</v>
      </c>
      <c r="D3329">
        <v>77</v>
      </c>
    </row>
    <row r="3330" spans="1:4" x14ac:dyDescent="0.25">
      <c r="A3330" t="str">
        <f>T("   940490")</f>
        <v xml:space="preserve">   940490</v>
      </c>
      <c r="B3330" t="s">
        <v>537</v>
      </c>
      <c r="C3330">
        <v>30000</v>
      </c>
      <c r="D3330">
        <v>15</v>
      </c>
    </row>
    <row r="3331" spans="1:4" x14ac:dyDescent="0.25">
      <c r="A3331" t="str">
        <f>T("EC")</f>
        <v>EC</v>
      </c>
      <c r="B3331" t="str">
        <f>T("Equateur")</f>
        <v>Equateur</v>
      </c>
    </row>
    <row r="3332" spans="1:4" x14ac:dyDescent="0.25">
      <c r="A3332" t="str">
        <f>T("   ZZ_Total_Produit_SH6")</f>
        <v xml:space="preserve">   ZZ_Total_Produit_SH6</v>
      </c>
      <c r="B3332" t="str">
        <f>T("   ZZ_Total_Produit_SH6")</f>
        <v xml:space="preserve">   ZZ_Total_Produit_SH6</v>
      </c>
      <c r="C3332">
        <v>20688538</v>
      </c>
      <c r="D3332">
        <v>82748</v>
      </c>
    </row>
    <row r="3333" spans="1:4" x14ac:dyDescent="0.25">
      <c r="A3333" t="str">
        <f>T("   030379")</f>
        <v xml:space="preserve">   030379</v>
      </c>
      <c r="B3333" t="s">
        <v>16</v>
      </c>
      <c r="C3333">
        <v>18188538</v>
      </c>
      <c r="D3333">
        <v>80840</v>
      </c>
    </row>
    <row r="3334" spans="1:4" x14ac:dyDescent="0.25">
      <c r="A3334" t="str">
        <f>T("   620590")</f>
        <v xml:space="preserve">   620590</v>
      </c>
      <c r="B333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334">
        <v>300000</v>
      </c>
      <c r="D3334">
        <v>308</v>
      </c>
    </row>
    <row r="3335" spans="1:4" x14ac:dyDescent="0.25">
      <c r="A3335" t="str">
        <f>T("   732399")</f>
        <v xml:space="preserve">   732399</v>
      </c>
      <c r="B3335" t="s">
        <v>390</v>
      </c>
      <c r="C3335">
        <v>700000</v>
      </c>
      <c r="D3335">
        <v>600</v>
      </c>
    </row>
    <row r="3336" spans="1:4" x14ac:dyDescent="0.25">
      <c r="A3336" t="str">
        <f>T("   940360")</f>
        <v xml:space="preserve">   940360</v>
      </c>
      <c r="B3336" t="str">
        <f>T("   Meubles en bois (autres que pour bureaux, cuisines ou chambres à coucher et autres que sièges)")</f>
        <v xml:space="preserve">   Meubles en bois (autres que pour bureaux, cuisines ou chambres à coucher et autres que sièges)</v>
      </c>
      <c r="C3336">
        <v>1500000</v>
      </c>
      <c r="D3336">
        <v>1000</v>
      </c>
    </row>
    <row r="3337" spans="1:4" x14ac:dyDescent="0.25">
      <c r="A3337" t="str">
        <f>T("EE")</f>
        <v>EE</v>
      </c>
      <c r="B3337" t="str">
        <f>T("Estonie")</f>
        <v>Estonie</v>
      </c>
    </row>
    <row r="3338" spans="1:4" x14ac:dyDescent="0.25">
      <c r="A3338" t="str">
        <f>T("   ZZ_Total_Produit_SH6")</f>
        <v xml:space="preserve">   ZZ_Total_Produit_SH6</v>
      </c>
      <c r="B3338" t="str">
        <f>T("   ZZ_Total_Produit_SH6")</f>
        <v xml:space="preserve">   ZZ_Total_Produit_SH6</v>
      </c>
      <c r="C3338">
        <v>355360874</v>
      </c>
      <c r="D3338">
        <v>616369</v>
      </c>
    </row>
    <row r="3339" spans="1:4" x14ac:dyDescent="0.25">
      <c r="A3339" t="str">
        <f>T("   480421")</f>
        <v xml:space="preserve">   480421</v>
      </c>
      <c r="B3339"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3339">
        <v>301131666</v>
      </c>
      <c r="D3339">
        <v>615994</v>
      </c>
    </row>
    <row r="3340" spans="1:4" x14ac:dyDescent="0.25">
      <c r="A3340" t="str">
        <f>T("   852550")</f>
        <v xml:space="preserve">   852550</v>
      </c>
      <c r="B3340" t="str">
        <f>T("   APPAREILS D'ÉMISSION POUR LA RADIODIFFUSION OU LA TÉLÉVISION, SANS APPAREIL DE RÉCEPTION")</f>
        <v xml:space="preserve">   APPAREILS D'ÉMISSION POUR LA RADIODIFFUSION OU LA TÉLÉVISION, SANS APPAREIL DE RÉCEPTION</v>
      </c>
      <c r="C3340">
        <v>54229208</v>
      </c>
      <c r="D3340">
        <v>375</v>
      </c>
    </row>
    <row r="3341" spans="1:4" x14ac:dyDescent="0.25">
      <c r="A3341" t="str">
        <f>T("EG")</f>
        <v>EG</v>
      </c>
      <c r="B3341" t="str">
        <f>T("Egypte")</f>
        <v>Egypte</v>
      </c>
    </row>
    <row r="3342" spans="1:4" x14ac:dyDescent="0.25">
      <c r="A3342" t="str">
        <f>T("   ZZ_Total_Produit_SH6")</f>
        <v xml:space="preserve">   ZZ_Total_Produit_SH6</v>
      </c>
      <c r="B3342" t="str">
        <f>T("   ZZ_Total_Produit_SH6")</f>
        <v xml:space="preserve">   ZZ_Total_Produit_SH6</v>
      </c>
      <c r="C3342">
        <v>2846608268.711</v>
      </c>
      <c r="D3342">
        <v>3261112</v>
      </c>
    </row>
    <row r="3343" spans="1:4" x14ac:dyDescent="0.25">
      <c r="A3343" t="str">
        <f>T("   080610")</f>
        <v xml:space="preserve">   080610</v>
      </c>
      <c r="B3343" t="str">
        <f>T("   Raisins, frais")</f>
        <v xml:space="preserve">   Raisins, frais</v>
      </c>
      <c r="C3343">
        <v>24525534</v>
      </c>
      <c r="D3343">
        <v>55035</v>
      </c>
    </row>
    <row r="3344" spans="1:4" x14ac:dyDescent="0.25">
      <c r="A3344" t="str">
        <f>T("   100630")</f>
        <v xml:space="preserve">   100630</v>
      </c>
      <c r="B3344" t="str">
        <f>T("   Riz semi-blanchi ou blanchi, même poli ou glacé")</f>
        <v xml:space="preserve">   Riz semi-blanchi ou blanchi, même poli ou glacé</v>
      </c>
      <c r="C3344">
        <v>68424692.710999995</v>
      </c>
      <c r="D3344">
        <v>250700</v>
      </c>
    </row>
    <row r="3345" spans="1:4" x14ac:dyDescent="0.25">
      <c r="A3345" t="str">
        <f>T("   151190")</f>
        <v xml:space="preserve">   151190</v>
      </c>
      <c r="B3345" t="str">
        <f>T("   Huile de palme et ses fractions, même raffinées, mais non chimiquement modifiées (à l'excl. de l'huile de palme brute)")</f>
        <v xml:space="preserve">   Huile de palme et ses fractions, même raffinées, mais non chimiquement modifiées (à l'excl. de l'huile de palme brute)</v>
      </c>
      <c r="C3345">
        <v>5625000</v>
      </c>
      <c r="D3345">
        <v>22500</v>
      </c>
    </row>
    <row r="3346" spans="1:4" x14ac:dyDescent="0.25">
      <c r="A3346" t="str">
        <f>T("   151620")</f>
        <v xml:space="preserve">   151620</v>
      </c>
      <c r="B334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346">
        <v>33000000</v>
      </c>
      <c r="D3346">
        <v>87314</v>
      </c>
    </row>
    <row r="3347" spans="1:4" x14ac:dyDescent="0.25">
      <c r="A3347" t="str">
        <f>T("   200980")</f>
        <v xml:space="preserve">   200980</v>
      </c>
      <c r="B334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347">
        <v>16842367</v>
      </c>
      <c r="D3347">
        <v>138172</v>
      </c>
    </row>
    <row r="3348" spans="1:4" x14ac:dyDescent="0.25">
      <c r="A3348" t="str">
        <f>T("   200990")</f>
        <v xml:space="preserve">   200990</v>
      </c>
      <c r="B3348"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348">
        <v>5313079</v>
      </c>
      <c r="D3348">
        <v>40008</v>
      </c>
    </row>
    <row r="3349" spans="1:4" x14ac:dyDescent="0.25">
      <c r="A3349" t="str">
        <f>T("   210690")</f>
        <v xml:space="preserve">   210690</v>
      </c>
      <c r="B3349" t="str">
        <f>T("   Préparations alimentaires, n.d.a.")</f>
        <v xml:space="preserve">   Préparations alimentaires, n.d.a.</v>
      </c>
      <c r="C3349">
        <v>855123889</v>
      </c>
      <c r="D3349">
        <v>37677</v>
      </c>
    </row>
    <row r="3350" spans="1:4" x14ac:dyDescent="0.25">
      <c r="A3350" t="str">
        <f>T("   230990")</f>
        <v xml:space="preserve">   230990</v>
      </c>
      <c r="B3350"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3350">
        <v>10630477</v>
      </c>
      <c r="D3350">
        <v>12200</v>
      </c>
    </row>
    <row r="3351" spans="1:4" x14ac:dyDescent="0.25">
      <c r="A3351" t="str">
        <f>T("   250100")</f>
        <v xml:space="preserve">   250100</v>
      </c>
      <c r="B3351" t="s">
        <v>63</v>
      </c>
      <c r="C3351">
        <v>11257698</v>
      </c>
      <c r="D3351">
        <v>216000</v>
      </c>
    </row>
    <row r="3352" spans="1:4" x14ac:dyDescent="0.25">
      <c r="A3352" t="str">
        <f>T("   252010")</f>
        <v xml:space="preserve">   252010</v>
      </c>
      <c r="B3352" t="str">
        <f>T("   Gypse; anhydrite")</f>
        <v xml:space="preserve">   Gypse; anhydrite</v>
      </c>
      <c r="C3352">
        <v>13680918</v>
      </c>
      <c r="D3352">
        <v>174800</v>
      </c>
    </row>
    <row r="3353" spans="1:4" x14ac:dyDescent="0.25">
      <c r="A3353" t="str">
        <f>T("   252020")</f>
        <v xml:space="preserve">   252020</v>
      </c>
      <c r="B3353" t="str">
        <f>T("   Plâtres, même colorés ou additionnés de faibles quantités d'accélérateurs ou de retardateurs")</f>
        <v xml:space="preserve">   Plâtres, même colorés ou additionnés de faibles quantités d'accélérateurs ou de retardateurs</v>
      </c>
      <c r="C3353">
        <v>45529829</v>
      </c>
      <c r="D3353">
        <v>802240</v>
      </c>
    </row>
    <row r="3354" spans="1:4" x14ac:dyDescent="0.25">
      <c r="A3354" t="str">
        <f>T("   252321")</f>
        <v xml:space="preserve">   252321</v>
      </c>
      <c r="B3354" t="str">
        <f>T("   Ciments Portland blancs, même colorés artificiellement")</f>
        <v xml:space="preserve">   Ciments Portland blancs, même colorés artificiellement</v>
      </c>
      <c r="C3354">
        <v>7897421</v>
      </c>
      <c r="D3354">
        <v>111000</v>
      </c>
    </row>
    <row r="3355" spans="1:4" x14ac:dyDescent="0.25">
      <c r="A3355" t="str">
        <f>T("   283650")</f>
        <v xml:space="preserve">   283650</v>
      </c>
      <c r="B3355" t="str">
        <f>T("   Carbonate de calcium")</f>
        <v xml:space="preserve">   Carbonate de calcium</v>
      </c>
      <c r="C3355">
        <v>52011530</v>
      </c>
      <c r="D3355">
        <v>711035</v>
      </c>
    </row>
    <row r="3356" spans="1:4" x14ac:dyDescent="0.25">
      <c r="A3356" t="str">
        <f>T("   320820")</f>
        <v xml:space="preserve">   320820</v>
      </c>
      <c r="B3356" t="s">
        <v>101</v>
      </c>
      <c r="C3356">
        <v>7646507</v>
      </c>
      <c r="D3356">
        <v>13944</v>
      </c>
    </row>
    <row r="3357" spans="1:4" x14ac:dyDescent="0.25">
      <c r="A3357" t="str">
        <f>T("   320990")</f>
        <v xml:space="preserve">   320990</v>
      </c>
      <c r="B3357"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3357">
        <v>3277065</v>
      </c>
      <c r="D3357">
        <v>12500</v>
      </c>
    </row>
    <row r="3358" spans="1:4" x14ac:dyDescent="0.25">
      <c r="A3358" t="str">
        <f>T("   330210")</f>
        <v xml:space="preserve">   330210</v>
      </c>
      <c r="B335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3358">
        <v>1090984801</v>
      </c>
      <c r="D3358">
        <v>48319</v>
      </c>
    </row>
    <row r="3359" spans="1:4" x14ac:dyDescent="0.25">
      <c r="A3359" t="str">
        <f>T("   382200")</f>
        <v xml:space="preserve">   382200</v>
      </c>
      <c r="B3359" t="s">
        <v>133</v>
      </c>
      <c r="C3359">
        <v>1428025</v>
      </c>
      <c r="D3359">
        <v>108</v>
      </c>
    </row>
    <row r="3360" spans="1:4" x14ac:dyDescent="0.25">
      <c r="A3360" t="str">
        <f>T("   390390")</f>
        <v xml:space="preserve">   390390</v>
      </c>
      <c r="B3360"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3360">
        <v>97048864</v>
      </c>
      <c r="D3360">
        <v>88160</v>
      </c>
    </row>
    <row r="3361" spans="1:4" x14ac:dyDescent="0.25">
      <c r="A3361" t="str">
        <f>T("   390521")</f>
        <v xml:space="preserve">   390521</v>
      </c>
      <c r="B3361" t="str">
        <f>T("   Copolymères d'acétate de vinyle, en dispersion aqueuse")</f>
        <v xml:space="preserve">   Copolymères d'acétate de vinyle, en dispersion aqueuse</v>
      </c>
      <c r="C3361">
        <v>46389378</v>
      </c>
      <c r="D3361">
        <v>43940</v>
      </c>
    </row>
    <row r="3362" spans="1:4" x14ac:dyDescent="0.25">
      <c r="A3362" t="str">
        <f>T("   390750")</f>
        <v xml:space="preserve">   390750</v>
      </c>
      <c r="B3362" t="str">
        <f>T("   Résines alkydes, sous formes primaires")</f>
        <v xml:space="preserve">   Résines alkydes, sous formes primaires</v>
      </c>
      <c r="C3362">
        <v>88526140</v>
      </c>
      <c r="D3362">
        <v>82880</v>
      </c>
    </row>
    <row r="3363" spans="1:4" x14ac:dyDescent="0.25">
      <c r="A3363" t="str">
        <f>T("   392020")</f>
        <v xml:space="preserve">   392020</v>
      </c>
      <c r="B3363" t="s">
        <v>141</v>
      </c>
      <c r="C3363">
        <v>251007560</v>
      </c>
      <c r="D3363">
        <v>137621</v>
      </c>
    </row>
    <row r="3364" spans="1:4" x14ac:dyDescent="0.25">
      <c r="A3364" t="str">
        <f>T("   490199")</f>
        <v xml:space="preserve">   490199</v>
      </c>
      <c r="B336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364">
        <v>5328560</v>
      </c>
      <c r="D3364">
        <v>50000</v>
      </c>
    </row>
    <row r="3365" spans="1:4" x14ac:dyDescent="0.25">
      <c r="A3365" t="str">
        <f>T("   490700")</f>
        <v xml:space="preserve">   490700</v>
      </c>
      <c r="B3365" t="s">
        <v>237</v>
      </c>
      <c r="C3365">
        <v>1014500</v>
      </c>
      <c r="D3365">
        <v>263</v>
      </c>
    </row>
    <row r="3366" spans="1:4" x14ac:dyDescent="0.25">
      <c r="A3366" t="str">
        <f>T("   691010")</f>
        <v xml:space="preserve">   691010</v>
      </c>
      <c r="B3366" t="s">
        <v>338</v>
      </c>
      <c r="C3366">
        <v>9119687</v>
      </c>
      <c r="D3366">
        <v>15888</v>
      </c>
    </row>
    <row r="3367" spans="1:4" x14ac:dyDescent="0.25">
      <c r="A3367" t="str">
        <f>T("   691090")</f>
        <v xml:space="preserve">   691090</v>
      </c>
      <c r="B3367" t="s">
        <v>339</v>
      </c>
      <c r="C3367">
        <v>12753175</v>
      </c>
      <c r="D3367">
        <v>31581</v>
      </c>
    </row>
    <row r="3368" spans="1:4" x14ac:dyDescent="0.25">
      <c r="A3368" t="str">
        <f>T("   730890")</f>
        <v xml:space="preserve">   730890</v>
      </c>
      <c r="B3368" t="s">
        <v>376</v>
      </c>
      <c r="C3368">
        <v>4982204</v>
      </c>
      <c r="D3368">
        <v>2550</v>
      </c>
    </row>
    <row r="3369" spans="1:4" x14ac:dyDescent="0.25">
      <c r="A3369" t="str">
        <f>T("   732111")</f>
        <v xml:space="preserve">   732111</v>
      </c>
      <c r="B3369" t="s">
        <v>382</v>
      </c>
      <c r="C3369">
        <v>31600152</v>
      </c>
      <c r="D3369">
        <v>35876</v>
      </c>
    </row>
    <row r="3370" spans="1:4" x14ac:dyDescent="0.25">
      <c r="A3370" t="str">
        <f>T("   732190")</f>
        <v xml:space="preserve">   732190</v>
      </c>
      <c r="B3370" t="str">
        <f>T("   Parties des appareils ménagers chauffants non-électriques du n° 7321, n.d.a.")</f>
        <v xml:space="preserve">   Parties des appareils ménagers chauffants non-électriques du n° 7321, n.d.a.</v>
      </c>
      <c r="C3370">
        <v>10246</v>
      </c>
      <c r="D3370">
        <v>9</v>
      </c>
    </row>
    <row r="3371" spans="1:4" x14ac:dyDescent="0.25">
      <c r="A3371" t="str">
        <f>T("   841451")</f>
        <v xml:space="preserve">   841451</v>
      </c>
      <c r="B3371"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3371">
        <v>301729</v>
      </c>
      <c r="D3371">
        <v>254</v>
      </c>
    </row>
    <row r="3372" spans="1:4" x14ac:dyDescent="0.25">
      <c r="A3372" t="str">
        <f>T("   841510")</f>
        <v xml:space="preserve">   841510</v>
      </c>
      <c r="B3372" t="s">
        <v>422</v>
      </c>
      <c r="C3372">
        <v>3276898</v>
      </c>
      <c r="D3372">
        <v>6000</v>
      </c>
    </row>
    <row r="3373" spans="1:4" x14ac:dyDescent="0.25">
      <c r="A3373" t="str">
        <f>T("   847982")</f>
        <v xml:space="preserve">   847982</v>
      </c>
      <c r="B3373"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3373">
        <v>911591</v>
      </c>
      <c r="D3373">
        <v>866</v>
      </c>
    </row>
    <row r="3374" spans="1:4" x14ac:dyDescent="0.25">
      <c r="A3374" t="str">
        <f>T("   850940")</f>
        <v xml:space="preserve">   850940</v>
      </c>
      <c r="B337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3374">
        <v>571830</v>
      </c>
      <c r="D3374">
        <v>457</v>
      </c>
    </row>
    <row r="3375" spans="1:4" x14ac:dyDescent="0.25">
      <c r="A3375" t="str">
        <f>T("   851610")</f>
        <v xml:space="preserve">   851610</v>
      </c>
      <c r="B3375" t="str">
        <f>T("   Chauffe-eau et thermoplongeurs électriques")</f>
        <v xml:space="preserve">   Chauffe-eau et thermoplongeurs électriques</v>
      </c>
      <c r="C3375">
        <v>18727218</v>
      </c>
      <c r="D3375">
        <v>12167</v>
      </c>
    </row>
    <row r="3376" spans="1:4" x14ac:dyDescent="0.25">
      <c r="A3376" t="str">
        <f>T("   851640")</f>
        <v xml:space="preserve">   851640</v>
      </c>
      <c r="B3376" t="str">
        <f>T("   Fers à repasser électriques")</f>
        <v xml:space="preserve">   Fers à repasser électriques</v>
      </c>
      <c r="C3376">
        <v>229434</v>
      </c>
      <c r="D3376">
        <v>218</v>
      </c>
    </row>
    <row r="3377" spans="1:4" x14ac:dyDescent="0.25">
      <c r="A3377" t="str">
        <f>T("   851660")</f>
        <v xml:space="preserve">   851660</v>
      </c>
      <c r="B3377"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377">
        <v>7646188</v>
      </c>
      <c r="D3377">
        <v>10330</v>
      </c>
    </row>
    <row r="3378" spans="1:4" x14ac:dyDescent="0.25">
      <c r="A3378" t="str">
        <f>T("   940161")</f>
        <v xml:space="preserve">   940161</v>
      </c>
      <c r="B3378" t="str">
        <f>T("   Sièges, avec bâti en bois, rembourrés (non transformables en lits)")</f>
        <v xml:space="preserve">   Sièges, avec bâti en bois, rembourrés (non transformables en lits)</v>
      </c>
      <c r="C3378">
        <v>13964082</v>
      </c>
      <c r="D3378">
        <v>8500</v>
      </c>
    </row>
    <row r="3379" spans="1:4" x14ac:dyDescent="0.25">
      <c r="A3379" t="str">
        <f>T("EH")</f>
        <v>EH</v>
      </c>
      <c r="B3379" t="str">
        <f>T("Sahara occidental")</f>
        <v>Sahara occidental</v>
      </c>
    </row>
    <row r="3380" spans="1:4" x14ac:dyDescent="0.25">
      <c r="A3380" t="str">
        <f>T("   ZZ_Total_Produit_SH6")</f>
        <v xml:space="preserve">   ZZ_Total_Produit_SH6</v>
      </c>
      <c r="B3380" t="str">
        <f>T("   ZZ_Total_Produit_SH6")</f>
        <v xml:space="preserve">   ZZ_Total_Produit_SH6</v>
      </c>
      <c r="C3380">
        <v>5500000</v>
      </c>
      <c r="D3380">
        <v>10000</v>
      </c>
    </row>
    <row r="3381" spans="1:4" x14ac:dyDescent="0.25">
      <c r="A3381" t="str">
        <f>T("   630900")</f>
        <v xml:space="preserve">   630900</v>
      </c>
      <c r="B3381" t="s">
        <v>300</v>
      </c>
      <c r="C3381">
        <v>5500000</v>
      </c>
      <c r="D3381">
        <v>10000</v>
      </c>
    </row>
    <row r="3382" spans="1:4" x14ac:dyDescent="0.25">
      <c r="A3382" t="str">
        <f>T("ES")</f>
        <v>ES</v>
      </c>
      <c r="B3382" t="str">
        <f>T("Espagne")</f>
        <v>Espagne</v>
      </c>
    </row>
    <row r="3383" spans="1:4" x14ac:dyDescent="0.25">
      <c r="A3383" t="str">
        <f>T("   ZZ_Total_Produit_SH6")</f>
        <v xml:space="preserve">   ZZ_Total_Produit_SH6</v>
      </c>
      <c r="B3383" t="str">
        <f>T("   ZZ_Total_Produit_SH6")</f>
        <v xml:space="preserve">   ZZ_Total_Produit_SH6</v>
      </c>
      <c r="C3383">
        <v>22254044701.041</v>
      </c>
      <c r="D3383">
        <v>217709070.91999999</v>
      </c>
    </row>
    <row r="3384" spans="1:4" x14ac:dyDescent="0.25">
      <c r="A3384" t="str">
        <f>T("   020329")</f>
        <v xml:space="preserve">   020329</v>
      </c>
      <c r="B3384"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3384">
        <v>8611443</v>
      </c>
      <c r="D3384">
        <v>9377</v>
      </c>
    </row>
    <row r="3385" spans="1:4" x14ac:dyDescent="0.25">
      <c r="A3385" t="str">
        <f>T("   020649")</f>
        <v xml:space="preserve">   020649</v>
      </c>
      <c r="B3385" t="str">
        <f>T("   Abats comestibles de porcins, congelés (à l'excl. des foies)")</f>
        <v xml:space="preserve">   Abats comestibles de porcins, congelés (à l'excl. des foies)</v>
      </c>
      <c r="C3385">
        <v>9467333</v>
      </c>
      <c r="D3385">
        <v>12722</v>
      </c>
    </row>
    <row r="3386" spans="1:4" x14ac:dyDescent="0.25">
      <c r="A3386" t="str">
        <f>T("   020690")</f>
        <v xml:space="preserve">   020690</v>
      </c>
      <c r="B3386" t="str">
        <f>T("   Abats comestibles des animaux des espèces ovine, caprine, chevaline, asine ou mulassière, congelés")</f>
        <v xml:space="preserve">   Abats comestibles des animaux des espèces ovine, caprine, chevaline, asine ou mulassière, congelés</v>
      </c>
      <c r="C3386">
        <v>6318207</v>
      </c>
      <c r="D3386">
        <v>8838</v>
      </c>
    </row>
    <row r="3387" spans="1:4" x14ac:dyDescent="0.25">
      <c r="A3387" t="str">
        <f>T("   020712")</f>
        <v xml:space="preserve">   020712</v>
      </c>
      <c r="B3387" t="str">
        <f>T("   COQS ET POULES [DES ESPÈCES DOMESTIQUES], NON-DÉCOUPÉS EN MORCEAUX, CONGELÉS")</f>
        <v xml:space="preserve">   COQS ET POULES [DES ESPÈCES DOMESTIQUES], NON-DÉCOUPÉS EN MORCEAUX, CONGELÉS</v>
      </c>
      <c r="C3387">
        <v>4590127089</v>
      </c>
      <c r="D3387">
        <v>7375050</v>
      </c>
    </row>
    <row r="3388" spans="1:4" x14ac:dyDescent="0.25">
      <c r="A3388" t="str">
        <f>T("   020714")</f>
        <v xml:space="preserve">   020714</v>
      </c>
      <c r="B3388" t="str">
        <f>T("   Morceaux et abats comestibles de coqs et de poules [des espèces domestiques], congelés")</f>
        <v xml:space="preserve">   Morceaux et abats comestibles de coqs et de poules [des espèces domestiques], congelés</v>
      </c>
      <c r="C3388">
        <v>2110787548</v>
      </c>
      <c r="D3388">
        <v>3394983</v>
      </c>
    </row>
    <row r="3389" spans="1:4" x14ac:dyDescent="0.25">
      <c r="A3389" t="str">
        <f>T("   020726")</f>
        <v xml:space="preserve">   020726</v>
      </c>
      <c r="B3389" t="str">
        <f>T("   Morceaux et abats comestibles de dindes et dindons [des espèces domestiques], frais ou réfrigérés")</f>
        <v xml:space="preserve">   Morceaux et abats comestibles de dindes et dindons [des espèces domestiques], frais ou réfrigérés</v>
      </c>
      <c r="C3389">
        <v>20631977</v>
      </c>
      <c r="D3389">
        <v>33547</v>
      </c>
    </row>
    <row r="3390" spans="1:4" x14ac:dyDescent="0.25">
      <c r="A3390" t="str">
        <f>T("   020727")</f>
        <v xml:space="preserve">   020727</v>
      </c>
      <c r="B3390" t="str">
        <f>T("   Morceaux et abats comestibles de dindes et dindons [des espèces domestiques], congelés")</f>
        <v xml:space="preserve">   Morceaux et abats comestibles de dindes et dindons [des espèces domestiques], congelés</v>
      </c>
      <c r="C3390">
        <v>2783827133</v>
      </c>
      <c r="D3390">
        <v>4464924</v>
      </c>
    </row>
    <row r="3391" spans="1:4" x14ac:dyDescent="0.25">
      <c r="A3391" t="str">
        <f>T("   020736")</f>
        <v xml:space="preserve">   020736</v>
      </c>
      <c r="B3391" t="str">
        <f>T("   Morceaux et abats comestibles de canards, d'oies ou de pintades [des espèces domestiques], congelés (à l'excl. des foies gras)")</f>
        <v xml:space="preserve">   Morceaux et abats comestibles de canards, d'oies ou de pintades [des espèces domestiques], congelés (à l'excl. des foies gras)</v>
      </c>
      <c r="C3391">
        <v>15550000</v>
      </c>
      <c r="D3391">
        <v>25000</v>
      </c>
    </row>
    <row r="3392" spans="1:4" x14ac:dyDescent="0.25">
      <c r="A3392" t="str">
        <f>T("   030229")</f>
        <v xml:space="preserve">   030229</v>
      </c>
      <c r="B3392"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3392">
        <v>5625000</v>
      </c>
      <c r="D3392">
        <v>25000</v>
      </c>
    </row>
    <row r="3393" spans="1:4" x14ac:dyDescent="0.25">
      <c r="A3393" t="str">
        <f>T("   030264")</f>
        <v xml:space="preserve">   030264</v>
      </c>
      <c r="B3393" t="str">
        <f>T("   Maquereaux [Scomber scombrus, Scomber australasicus, Scomber japonicus], frais ou réfrigérés")</f>
        <v xml:space="preserve">   Maquereaux [Scomber scombrus, Scomber australasicus, Scomber japonicus], frais ou réfrigérés</v>
      </c>
      <c r="C3393">
        <v>18523326</v>
      </c>
      <c r="D3393">
        <v>80535</v>
      </c>
    </row>
    <row r="3394" spans="1:4" x14ac:dyDescent="0.25">
      <c r="A3394" t="str">
        <f>T("   030269")</f>
        <v xml:space="preserve">   030269</v>
      </c>
      <c r="B3394" t="s">
        <v>15</v>
      </c>
      <c r="C3394">
        <v>5625000</v>
      </c>
      <c r="D3394">
        <v>25500</v>
      </c>
    </row>
    <row r="3395" spans="1:4" x14ac:dyDescent="0.25">
      <c r="A3395" t="str">
        <f>T("   030379")</f>
        <v xml:space="preserve">   030379</v>
      </c>
      <c r="B3395" t="s">
        <v>16</v>
      </c>
      <c r="C3395">
        <v>499323052</v>
      </c>
      <c r="D3395">
        <v>2219209</v>
      </c>
    </row>
    <row r="3396" spans="1:4" x14ac:dyDescent="0.25">
      <c r="A3396" t="str">
        <f>T("   040310")</f>
        <v xml:space="preserve">   040310</v>
      </c>
      <c r="B3396" t="str">
        <f>T("   Yoghourts, même additionnés de sucre ou d'autres édulcorants ou aromatisés ou additionnés de fruits ou de cacao")</f>
        <v xml:space="preserve">   Yoghourts, même additionnés de sucre ou d'autres édulcorants ou aromatisés ou additionnés de fruits ou de cacao</v>
      </c>
      <c r="C3396">
        <v>3022664</v>
      </c>
      <c r="D3396">
        <v>9315</v>
      </c>
    </row>
    <row r="3397" spans="1:4" x14ac:dyDescent="0.25">
      <c r="A3397" t="str">
        <f>T("   040690")</f>
        <v xml:space="preserve">   040690</v>
      </c>
      <c r="B3397" t="s">
        <v>19</v>
      </c>
      <c r="C3397">
        <v>5352633</v>
      </c>
      <c r="D3397">
        <v>4869</v>
      </c>
    </row>
    <row r="3398" spans="1:4" x14ac:dyDescent="0.25">
      <c r="A3398" t="str">
        <f>T("   050400")</f>
        <v xml:space="preserve">   050400</v>
      </c>
      <c r="B3398"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398">
        <v>82056941</v>
      </c>
      <c r="D3398">
        <v>67580</v>
      </c>
    </row>
    <row r="3399" spans="1:4" x14ac:dyDescent="0.25">
      <c r="A3399" t="str">
        <f>T("   080810")</f>
        <v xml:space="preserve">   080810</v>
      </c>
      <c r="B3399" t="str">
        <f>T("   Pommes, fraîches")</f>
        <v xml:space="preserve">   Pommes, fraîches</v>
      </c>
      <c r="C3399">
        <v>4485782</v>
      </c>
      <c r="D3399">
        <v>6366</v>
      </c>
    </row>
    <row r="3400" spans="1:4" x14ac:dyDescent="0.25">
      <c r="A3400" t="str">
        <f>T("   100190")</f>
        <v xml:space="preserve">   100190</v>
      </c>
      <c r="B3400" t="str">
        <f>T("   Froment [blé] et méteil (à l'excl. du froment [blé] dur)")</f>
        <v xml:space="preserve">   Froment [blé] et méteil (à l'excl. du froment [blé] dur)</v>
      </c>
      <c r="C3400">
        <v>3750000</v>
      </c>
      <c r="D3400">
        <v>25000</v>
      </c>
    </row>
    <row r="3401" spans="1:4" x14ac:dyDescent="0.25">
      <c r="A3401" t="str">
        <f>T("   110100")</f>
        <v xml:space="preserve">   110100</v>
      </c>
      <c r="B3401" t="str">
        <f>T("   Farines de froment [blé] ou de méteil")</f>
        <v xml:space="preserve">   Farines de froment [blé] ou de méteil</v>
      </c>
      <c r="C3401">
        <v>76556105.424999997</v>
      </c>
      <c r="D3401">
        <v>284300</v>
      </c>
    </row>
    <row r="3402" spans="1:4" x14ac:dyDescent="0.25">
      <c r="A3402" t="str">
        <f>T("   110311")</f>
        <v xml:space="preserve">   110311</v>
      </c>
      <c r="B3402" t="str">
        <f>T("   Gruaux et semoules de froment [blé]")</f>
        <v xml:space="preserve">   Gruaux et semoules de froment [blé]</v>
      </c>
      <c r="C3402">
        <v>22621500</v>
      </c>
      <c r="D3402">
        <v>150150</v>
      </c>
    </row>
    <row r="3403" spans="1:4" x14ac:dyDescent="0.25">
      <c r="A3403" t="str">
        <f>T("   110710")</f>
        <v xml:space="preserve">   110710</v>
      </c>
      <c r="B3403" t="str">
        <f>T("   MALT, NON-TORRÉFIÉ")</f>
        <v xml:space="preserve">   MALT, NON-TORRÉFIÉ</v>
      </c>
      <c r="C3403">
        <v>32939688</v>
      </c>
      <c r="D3403">
        <v>160570</v>
      </c>
    </row>
    <row r="3404" spans="1:4" x14ac:dyDescent="0.25">
      <c r="A3404" t="str">
        <f>T("   150910")</f>
        <v xml:space="preserve">   150910</v>
      </c>
      <c r="B3404"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3404">
        <v>4192378</v>
      </c>
      <c r="D3404">
        <v>5206</v>
      </c>
    </row>
    <row r="3405" spans="1:4" x14ac:dyDescent="0.25">
      <c r="A3405" t="str">
        <f>T("   151219")</f>
        <v xml:space="preserve">   151219</v>
      </c>
      <c r="B3405"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405">
        <v>426000</v>
      </c>
      <c r="D3405">
        <v>1704</v>
      </c>
    </row>
    <row r="3406" spans="1:4" x14ac:dyDescent="0.25">
      <c r="A3406" t="str">
        <f>T("   160231")</f>
        <v xml:space="preserve">   160231</v>
      </c>
      <c r="B3406" t="s">
        <v>39</v>
      </c>
      <c r="C3406">
        <v>4193552</v>
      </c>
      <c r="D3406">
        <v>4988</v>
      </c>
    </row>
    <row r="3407" spans="1:4" x14ac:dyDescent="0.25">
      <c r="A3407" t="str">
        <f>T("   160241")</f>
        <v xml:space="preserve">   160241</v>
      </c>
      <c r="B3407" t="str">
        <f>T("   Préparations et conserves de jambons et de morceaux de jambons des animaux de l'espèce porcine")</f>
        <v xml:space="preserve">   Préparations et conserves de jambons et de morceaux de jambons des animaux de l'espèce porcine</v>
      </c>
      <c r="C3407">
        <v>12889613</v>
      </c>
      <c r="D3407">
        <v>17530</v>
      </c>
    </row>
    <row r="3408" spans="1:4" x14ac:dyDescent="0.25">
      <c r="A3408" t="str">
        <f>T("   170199")</f>
        <v xml:space="preserve">   170199</v>
      </c>
      <c r="B340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408">
        <v>3126258.6159999999</v>
      </c>
      <c r="D3408">
        <v>7426</v>
      </c>
    </row>
    <row r="3409" spans="1:4" x14ac:dyDescent="0.25">
      <c r="A3409" t="str">
        <f>T("   170490")</f>
        <v xml:space="preserve">   170490</v>
      </c>
      <c r="B3409" t="str">
        <f>T("   Sucreries sans cacao, y.c. le chocolat blanc (à l'excl. des gommes à mâcher)")</f>
        <v xml:space="preserve">   Sucreries sans cacao, y.c. le chocolat blanc (à l'excl. des gommes à mâcher)</v>
      </c>
      <c r="C3409">
        <v>4139108</v>
      </c>
      <c r="D3409">
        <v>27342</v>
      </c>
    </row>
    <row r="3410" spans="1:4" x14ac:dyDescent="0.25">
      <c r="A3410" t="str">
        <f>T("   190230")</f>
        <v xml:space="preserve">   190230</v>
      </c>
      <c r="B3410" t="str">
        <f>T("   Pâtes alimentaires, cuites ou autrement préparées (à l'excl. des pâtes alimentaires farcies)")</f>
        <v xml:space="preserve">   Pâtes alimentaires, cuites ou autrement préparées (à l'excl. des pâtes alimentaires farcies)</v>
      </c>
      <c r="C3410">
        <v>252545</v>
      </c>
      <c r="D3410">
        <v>196</v>
      </c>
    </row>
    <row r="3411" spans="1:4" x14ac:dyDescent="0.25">
      <c r="A3411" t="str">
        <f>T("   190531")</f>
        <v xml:space="preserve">   190531</v>
      </c>
      <c r="B3411" t="str">
        <f>T("   Biscuits additionnés d'édulcorants")</f>
        <v xml:space="preserve">   Biscuits additionnés d'édulcorants</v>
      </c>
      <c r="C3411">
        <v>13146422</v>
      </c>
      <c r="D3411">
        <v>19566</v>
      </c>
    </row>
    <row r="3412" spans="1:4" x14ac:dyDescent="0.25">
      <c r="A3412" t="str">
        <f>T("   190590")</f>
        <v xml:space="preserve">   190590</v>
      </c>
      <c r="B3412" t="s">
        <v>52</v>
      </c>
      <c r="C3412">
        <v>7103633</v>
      </c>
      <c r="D3412">
        <v>11520</v>
      </c>
    </row>
    <row r="3413" spans="1:4" x14ac:dyDescent="0.25">
      <c r="A3413" t="str">
        <f>T("   200520")</f>
        <v xml:space="preserve">   200520</v>
      </c>
      <c r="B3413" t="str">
        <f>T("   POMMES DE TERRE, PRÉPARÉES OU CONSERVÉES AUTREMENT QU'AU VINAIGRE OU À L'ACIDE ACÉTIQUE, NON-CONGELÉES")</f>
        <v xml:space="preserve">   POMMES DE TERRE, PRÉPARÉES OU CONSERVÉES AUTREMENT QU'AU VINAIGRE OU À L'ACIDE ACÉTIQUE, NON-CONGELÉES</v>
      </c>
      <c r="C3413">
        <v>5788191</v>
      </c>
      <c r="D3413">
        <v>2869</v>
      </c>
    </row>
    <row r="3414" spans="1:4" x14ac:dyDescent="0.25">
      <c r="A3414" t="str">
        <f>T("   200899")</f>
        <v xml:space="preserve">   200899</v>
      </c>
      <c r="B3414" t="s">
        <v>58</v>
      </c>
      <c r="C3414">
        <v>1016739</v>
      </c>
      <c r="D3414">
        <v>947</v>
      </c>
    </row>
    <row r="3415" spans="1:4" x14ac:dyDescent="0.25">
      <c r="A3415" t="str">
        <f>T("   200969")</f>
        <v xml:space="preserve">   200969</v>
      </c>
      <c r="B3415"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415">
        <v>3794073</v>
      </c>
      <c r="D3415">
        <v>17422</v>
      </c>
    </row>
    <row r="3416" spans="1:4" x14ac:dyDescent="0.25">
      <c r="A3416" t="str">
        <f>T("   200980")</f>
        <v xml:space="preserve">   200980</v>
      </c>
      <c r="B341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416">
        <v>7430310</v>
      </c>
      <c r="D3416">
        <v>115545</v>
      </c>
    </row>
    <row r="3417" spans="1:4" x14ac:dyDescent="0.25">
      <c r="A3417" t="str">
        <f>T("   210410")</f>
        <v xml:space="preserve">   210410</v>
      </c>
      <c r="B3417" t="str">
        <f>T("   Préparations pour soupes, potages ou bouillons; soupes, potages ou bouillons préparés")</f>
        <v xml:space="preserve">   Préparations pour soupes, potages ou bouillons; soupes, potages ou bouillons préparés</v>
      </c>
      <c r="C3417">
        <v>12966361</v>
      </c>
      <c r="D3417">
        <v>41496</v>
      </c>
    </row>
    <row r="3418" spans="1:4" x14ac:dyDescent="0.25">
      <c r="A3418" t="str">
        <f>T("   210690")</f>
        <v xml:space="preserve">   210690</v>
      </c>
      <c r="B3418" t="str">
        <f>T("   Préparations alimentaires, n.d.a.")</f>
        <v xml:space="preserve">   Préparations alimentaires, n.d.a.</v>
      </c>
      <c r="C3418">
        <v>220403</v>
      </c>
      <c r="D3418">
        <v>5362</v>
      </c>
    </row>
    <row r="3419" spans="1:4" x14ac:dyDescent="0.25">
      <c r="A3419" t="str">
        <f>T("   220110")</f>
        <v xml:space="preserve">   220110</v>
      </c>
      <c r="B3419" t="str">
        <f>T("   Eaux minérales et eaux gazéifiées, non additionnées de sucre ou d'autres édulcorants ni aromatisées")</f>
        <v xml:space="preserve">   Eaux minérales et eaux gazéifiées, non additionnées de sucre ou d'autres édulcorants ni aromatisées</v>
      </c>
      <c r="C3419">
        <v>4242021</v>
      </c>
      <c r="D3419">
        <v>57250</v>
      </c>
    </row>
    <row r="3420" spans="1:4" x14ac:dyDescent="0.25">
      <c r="A3420" t="str">
        <f>T("   220190")</f>
        <v xml:space="preserve">   220190</v>
      </c>
      <c r="B3420"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420">
        <v>5313275</v>
      </c>
      <c r="D3420">
        <v>80129</v>
      </c>
    </row>
    <row r="3421" spans="1:4" x14ac:dyDescent="0.25">
      <c r="A3421" t="str">
        <f>T("   220210")</f>
        <v xml:space="preserve">   220210</v>
      </c>
      <c r="B342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421">
        <v>13818132</v>
      </c>
      <c r="D3421">
        <v>66400</v>
      </c>
    </row>
    <row r="3422" spans="1:4" x14ac:dyDescent="0.25">
      <c r="A3422" t="str">
        <f>T("   220290")</f>
        <v xml:space="preserve">   220290</v>
      </c>
      <c r="B3422" t="str">
        <f>T("   BOISSONS NON-ALCOOLIQUES (À L'EXCL. DES EAUX, DES JUS DE FRUITS OU DE LÉGUMES AINSI QUE DU LAIT)")</f>
        <v xml:space="preserve">   BOISSONS NON-ALCOOLIQUES (À L'EXCL. DES EAUX, DES JUS DE FRUITS OU DE LÉGUMES AINSI QUE DU LAIT)</v>
      </c>
      <c r="C3422">
        <v>79467131</v>
      </c>
      <c r="D3422">
        <v>309793</v>
      </c>
    </row>
    <row r="3423" spans="1:4" x14ac:dyDescent="0.25">
      <c r="A3423" t="str">
        <f>T("   220300")</f>
        <v xml:space="preserve">   220300</v>
      </c>
      <c r="B3423" t="str">
        <f>T("   Bières de malt")</f>
        <v xml:space="preserve">   Bières de malt</v>
      </c>
      <c r="C3423">
        <v>26187766</v>
      </c>
      <c r="D3423">
        <v>94774</v>
      </c>
    </row>
    <row r="3424" spans="1:4" x14ac:dyDescent="0.25">
      <c r="A3424" t="str">
        <f>T("   220421")</f>
        <v xml:space="preserve">   220421</v>
      </c>
      <c r="B342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424">
        <v>177274793</v>
      </c>
      <c r="D3424">
        <v>841400</v>
      </c>
    </row>
    <row r="3425" spans="1:4" x14ac:dyDescent="0.25">
      <c r="A3425" t="str">
        <f>T("   220429")</f>
        <v xml:space="preserve">   220429</v>
      </c>
      <c r="B342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425">
        <v>13385356</v>
      </c>
      <c r="D3425">
        <v>108728</v>
      </c>
    </row>
    <row r="3426" spans="1:4" x14ac:dyDescent="0.25">
      <c r="A3426" t="str">
        <f>T("   220510")</f>
        <v xml:space="preserve">   220510</v>
      </c>
      <c r="B3426"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426">
        <v>117506109</v>
      </c>
      <c r="D3426">
        <v>577707</v>
      </c>
    </row>
    <row r="3427" spans="1:4" x14ac:dyDescent="0.25">
      <c r="A3427" t="str">
        <f>T("   220590")</f>
        <v xml:space="preserve">   220590</v>
      </c>
      <c r="B3427"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3427">
        <v>3286884</v>
      </c>
      <c r="D3427">
        <v>12002</v>
      </c>
    </row>
    <row r="3428" spans="1:4" x14ac:dyDescent="0.25">
      <c r="A3428" t="str">
        <f>T("   220600")</f>
        <v xml:space="preserve">   220600</v>
      </c>
      <c r="B3428" t="s">
        <v>60</v>
      </c>
      <c r="C3428">
        <v>71909676</v>
      </c>
      <c r="D3428">
        <v>260468</v>
      </c>
    </row>
    <row r="3429" spans="1:4" x14ac:dyDescent="0.25">
      <c r="A3429" t="str">
        <f>T("   220840")</f>
        <v xml:space="preserve">   220840</v>
      </c>
      <c r="B3429" t="str">
        <f>T("   RHUM ET AUTRES EAUX-DE-VIE PROVENANT DE LA DISTILLATION, APRÈS FERMENTATION, DE PRODUITS DE CANNES À SUCRE")</f>
        <v xml:space="preserve">   RHUM ET AUTRES EAUX-DE-VIE PROVENANT DE LA DISTILLATION, APRÈS FERMENTATION, DE PRODUITS DE CANNES À SUCRE</v>
      </c>
      <c r="C3429">
        <v>4726678</v>
      </c>
      <c r="D3429">
        <v>6489</v>
      </c>
    </row>
    <row r="3430" spans="1:4" x14ac:dyDescent="0.25">
      <c r="A3430" t="str">
        <f>T("   220850")</f>
        <v xml:space="preserve">   220850</v>
      </c>
      <c r="B3430" t="str">
        <f>T("   Gin et genièvre")</f>
        <v xml:space="preserve">   Gin et genièvre</v>
      </c>
      <c r="C3430">
        <v>22762671</v>
      </c>
      <c r="D3430">
        <v>77242</v>
      </c>
    </row>
    <row r="3431" spans="1:4" x14ac:dyDescent="0.25">
      <c r="A3431" t="str">
        <f>T("   220870")</f>
        <v xml:space="preserve">   220870</v>
      </c>
      <c r="B3431" t="str">
        <f>T("   LIQUEURS")</f>
        <v xml:space="preserve">   LIQUEURS</v>
      </c>
      <c r="C3431">
        <v>34314183</v>
      </c>
      <c r="D3431">
        <v>90702</v>
      </c>
    </row>
    <row r="3432" spans="1:4" x14ac:dyDescent="0.25">
      <c r="A3432" t="str">
        <f>T("   220890")</f>
        <v xml:space="preserve">   220890</v>
      </c>
      <c r="B3432" t="s">
        <v>61</v>
      </c>
      <c r="C3432">
        <v>13758197</v>
      </c>
      <c r="D3432">
        <v>77309</v>
      </c>
    </row>
    <row r="3433" spans="1:4" x14ac:dyDescent="0.25">
      <c r="A3433" t="str">
        <f>T("   250590")</f>
        <v xml:space="preserve">   250590</v>
      </c>
      <c r="B3433"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3433">
        <v>524768</v>
      </c>
      <c r="D3433">
        <v>135</v>
      </c>
    </row>
    <row r="3434" spans="1:4" x14ac:dyDescent="0.25">
      <c r="A3434" t="str">
        <f>T("   251710")</f>
        <v xml:space="preserve">   251710</v>
      </c>
      <c r="B3434"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3434">
        <v>1520360</v>
      </c>
      <c r="D3434">
        <v>2278</v>
      </c>
    </row>
    <row r="3435" spans="1:4" x14ac:dyDescent="0.25">
      <c r="A3435" t="str">
        <f>T("   252010")</f>
        <v xml:space="preserve">   252010</v>
      </c>
      <c r="B3435" t="str">
        <f>T("   Gypse; anhydrite")</f>
        <v xml:space="preserve">   Gypse; anhydrite</v>
      </c>
      <c r="C3435">
        <v>1530657071</v>
      </c>
      <c r="D3435">
        <v>83150000</v>
      </c>
    </row>
    <row r="3436" spans="1:4" x14ac:dyDescent="0.25">
      <c r="A3436" t="str">
        <f>T("   252020")</f>
        <v xml:space="preserve">   252020</v>
      </c>
      <c r="B3436" t="str">
        <f>T("   Plâtres, même colorés ou additionnés de faibles quantités d'accélérateurs ou de retardateurs")</f>
        <v xml:space="preserve">   Plâtres, même colorés ou additionnés de faibles quantités d'accélérateurs ou de retardateurs</v>
      </c>
      <c r="C3436">
        <v>769271</v>
      </c>
      <c r="D3436">
        <v>26000</v>
      </c>
    </row>
    <row r="3437" spans="1:4" x14ac:dyDescent="0.25">
      <c r="A3437" t="str">
        <f>T("   252210")</f>
        <v xml:space="preserve">   252210</v>
      </c>
      <c r="B3437" t="str">
        <f>T("   Chaux vive")</f>
        <v xml:space="preserve">   Chaux vive</v>
      </c>
      <c r="C3437">
        <v>48811334</v>
      </c>
      <c r="D3437">
        <v>521648</v>
      </c>
    </row>
    <row r="3438" spans="1:4" x14ac:dyDescent="0.25">
      <c r="A3438" t="str">
        <f>T("   252310")</f>
        <v xml:space="preserve">   252310</v>
      </c>
      <c r="B3438" t="str">
        <f>T("   Ciments non pulvérisés dits 'clinkers'")</f>
        <v xml:space="preserve">   Ciments non pulvérisés dits 'clinkers'</v>
      </c>
      <c r="C3438">
        <v>3342500000</v>
      </c>
      <c r="D3438">
        <v>95500000</v>
      </c>
    </row>
    <row r="3439" spans="1:4" x14ac:dyDescent="0.25">
      <c r="A3439" t="str">
        <f>T("   252321")</f>
        <v xml:space="preserve">   252321</v>
      </c>
      <c r="B3439" t="str">
        <f>T("   Ciments Portland blancs, même colorés artificiellement")</f>
        <v xml:space="preserve">   Ciments Portland blancs, même colorés artificiellement</v>
      </c>
      <c r="C3439">
        <v>1606682</v>
      </c>
      <c r="D3439">
        <v>25600</v>
      </c>
    </row>
    <row r="3440" spans="1:4" x14ac:dyDescent="0.25">
      <c r="A3440" t="str">
        <f>T("   252329")</f>
        <v xml:space="preserve">   252329</v>
      </c>
      <c r="B3440" t="str">
        <f>T("   Ciment Portland normal ou modéré (à l'excl. des ciments Portland blancs, même colorés artificiellement)")</f>
        <v xml:space="preserve">   Ciment Portland normal ou modéré (à l'excl. des ciments Portland blancs, même colorés artificiellement)</v>
      </c>
      <c r="C3440">
        <v>13781943</v>
      </c>
      <c r="D3440">
        <v>96288</v>
      </c>
    </row>
    <row r="3441" spans="1:4" x14ac:dyDescent="0.25">
      <c r="A3441" t="str">
        <f>T("   253090")</f>
        <v xml:space="preserve">   253090</v>
      </c>
      <c r="B3441" t="str">
        <f>T("   Sulfures d'arsenic, alunite, terre de pouzzolane, terres colorantes et autres matières minérales, n.d.a.")</f>
        <v xml:space="preserve">   Sulfures d'arsenic, alunite, terre de pouzzolane, terres colorantes et autres matières minérales, n.d.a.</v>
      </c>
      <c r="C3441">
        <v>1168500</v>
      </c>
      <c r="D3441">
        <v>19172</v>
      </c>
    </row>
    <row r="3442" spans="1:4" x14ac:dyDescent="0.25">
      <c r="A3442" t="str">
        <f>T("   271011")</f>
        <v xml:space="preserve">   271011</v>
      </c>
      <c r="B344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3442">
        <v>14778209</v>
      </c>
      <c r="D3442">
        <v>19820</v>
      </c>
    </row>
    <row r="3443" spans="1:4" x14ac:dyDescent="0.25">
      <c r="A3443" t="str">
        <f>T("   271019")</f>
        <v xml:space="preserve">   271019</v>
      </c>
      <c r="B3443" t="str">
        <f>T("   Huiles moyennes et préparations, de pétrole ou de minéraux bitumineux, n.d.a.")</f>
        <v xml:space="preserve">   Huiles moyennes et préparations, de pétrole ou de minéraux bitumineux, n.d.a.</v>
      </c>
      <c r="C3443">
        <v>1140473645</v>
      </c>
      <c r="D3443">
        <v>3458760</v>
      </c>
    </row>
    <row r="3444" spans="1:4" x14ac:dyDescent="0.25">
      <c r="A3444" t="str">
        <f>T("   280110")</f>
        <v xml:space="preserve">   280110</v>
      </c>
      <c r="B3444" t="str">
        <f>T("   Chlore")</f>
        <v xml:space="preserve">   Chlore</v>
      </c>
      <c r="C3444">
        <v>545103</v>
      </c>
      <c r="D3444">
        <v>963</v>
      </c>
    </row>
    <row r="3445" spans="1:4" x14ac:dyDescent="0.25">
      <c r="A3445" t="str">
        <f>T("   280512")</f>
        <v xml:space="preserve">   280512</v>
      </c>
      <c r="B3445" t="str">
        <f>T("   CALCIUM")</f>
        <v xml:space="preserve">   CALCIUM</v>
      </c>
      <c r="C3445">
        <v>2194186</v>
      </c>
      <c r="D3445">
        <v>400</v>
      </c>
    </row>
    <row r="3446" spans="1:4" x14ac:dyDescent="0.25">
      <c r="A3446" t="str">
        <f>T("   283650")</f>
        <v xml:space="preserve">   283650</v>
      </c>
      <c r="B3446" t="str">
        <f>T("   Carbonate de calcium")</f>
        <v xml:space="preserve">   Carbonate de calcium</v>
      </c>
      <c r="C3446">
        <v>103569183</v>
      </c>
      <c r="D3446">
        <v>869235</v>
      </c>
    </row>
    <row r="3447" spans="1:4" x14ac:dyDescent="0.25">
      <c r="A3447" t="str">
        <f>T("   283699")</f>
        <v xml:space="preserve">   283699</v>
      </c>
      <c r="B3447" t="s">
        <v>66</v>
      </c>
      <c r="C3447">
        <v>2149581</v>
      </c>
      <c r="D3447">
        <v>400</v>
      </c>
    </row>
    <row r="3448" spans="1:4" x14ac:dyDescent="0.25">
      <c r="A3448" t="str">
        <f>T("   284910")</f>
        <v xml:space="preserve">   284910</v>
      </c>
      <c r="B3448" t="str">
        <f>T("   Carbure de calcium, de constitution chimique définie ou non")</f>
        <v xml:space="preserve">   Carbure de calcium, de constitution chimique définie ou non</v>
      </c>
      <c r="C3448">
        <v>11541576</v>
      </c>
      <c r="D3448">
        <v>20250</v>
      </c>
    </row>
    <row r="3449" spans="1:4" x14ac:dyDescent="0.25">
      <c r="A3449" t="str">
        <f>T("   285000")</f>
        <v xml:space="preserve">   285000</v>
      </c>
      <c r="B3449" t="str">
        <f>T("   Hydrures, nitrures, azotures, siliciures et borures, de constitution chimique définie ou non (à l'excl. des composés qui constituent également des carbures du n° 2849)")</f>
        <v xml:space="preserve">   Hydrures, nitrures, azotures, siliciures et borures, de constitution chimique définie ou non (à l'excl. des composés qui constituent également des carbures du n° 2849)</v>
      </c>
      <c r="C3449">
        <v>16746494</v>
      </c>
      <c r="D3449">
        <v>24600</v>
      </c>
    </row>
    <row r="3450" spans="1:4" x14ac:dyDescent="0.25">
      <c r="A3450" t="str">
        <f>T("   285100")</f>
        <v xml:space="preserve">   285100</v>
      </c>
      <c r="B3450"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3450">
        <v>16746494</v>
      </c>
      <c r="D3450">
        <v>25620</v>
      </c>
    </row>
    <row r="3451" spans="1:4" x14ac:dyDescent="0.25">
      <c r="A3451" t="str">
        <f>T("   290542")</f>
        <v xml:space="preserve">   290542</v>
      </c>
      <c r="B3451" t="str">
        <f>T("   PENTAÉRYÈRITOL [PENTAÉRYÈRITE]")</f>
        <v xml:space="preserve">   PENTAÉRYÈRITOL [PENTAÉRYÈRITE]</v>
      </c>
      <c r="C3451">
        <v>663090</v>
      </c>
      <c r="D3451">
        <v>218</v>
      </c>
    </row>
    <row r="3452" spans="1:4" x14ac:dyDescent="0.25">
      <c r="A3452" t="str">
        <f>T("   291100")</f>
        <v xml:space="preserve">   291100</v>
      </c>
      <c r="B3452" t="str">
        <f>T("   Acétals et hémi-acétals, même contenant d'autres fonctions oxygénées, et leurs dérivés halogénés, sulfonés, nitrés ou nitrosés")</f>
        <v xml:space="preserve">   Acétals et hémi-acétals, même contenant d'autres fonctions oxygénées, et leurs dérivés halogénés, sulfonés, nitrés ou nitrosés</v>
      </c>
      <c r="C3452">
        <v>963605</v>
      </c>
      <c r="D3452">
        <v>172</v>
      </c>
    </row>
    <row r="3453" spans="1:4" x14ac:dyDescent="0.25">
      <c r="A3453" t="str">
        <f>T("   291539")</f>
        <v xml:space="preserve">   291539</v>
      </c>
      <c r="B3453" t="str">
        <f>T("   Esters de l'acide acétique (à l'excl. des acétates d'éthyle, de vinyle, de n-butyle, d'isobutyle et de 2-éthoxyéthyle)")</f>
        <v xml:space="preserve">   Esters de l'acide acétique (à l'excl. des acétates d'éthyle, de vinyle, de n-butyle, d'isobutyle et de 2-éthoxyéthyle)</v>
      </c>
      <c r="C3453">
        <v>1047935</v>
      </c>
      <c r="D3453">
        <v>522</v>
      </c>
    </row>
    <row r="3454" spans="1:4" x14ac:dyDescent="0.25">
      <c r="A3454" t="str">
        <f>T("   292320")</f>
        <v xml:space="preserve">   292320</v>
      </c>
      <c r="B3454" t="str">
        <f>T("   Lécithines et autres phosphoaminolipides, de constitution chimique définie ou non")</f>
        <v xml:space="preserve">   Lécithines et autres phosphoaminolipides, de constitution chimique définie ou non</v>
      </c>
      <c r="C3454">
        <v>378207</v>
      </c>
      <c r="D3454">
        <v>210</v>
      </c>
    </row>
    <row r="3455" spans="1:4" x14ac:dyDescent="0.25">
      <c r="A3455" t="str">
        <f>T("   300220")</f>
        <v xml:space="preserve">   300220</v>
      </c>
      <c r="B3455" t="str">
        <f>T("   Vaccins pour la médecine humaine")</f>
        <v xml:space="preserve">   Vaccins pour la médecine humaine</v>
      </c>
      <c r="C3455">
        <v>12876029</v>
      </c>
      <c r="D3455">
        <v>425</v>
      </c>
    </row>
    <row r="3456" spans="1:4" x14ac:dyDescent="0.25">
      <c r="A3456" t="str">
        <f>T("   300490")</f>
        <v xml:space="preserve">   300490</v>
      </c>
      <c r="B3456" t="s">
        <v>84</v>
      </c>
      <c r="C3456">
        <v>12983791</v>
      </c>
      <c r="D3456">
        <v>11985.88</v>
      </c>
    </row>
    <row r="3457" spans="1:4" x14ac:dyDescent="0.25">
      <c r="A3457" t="str">
        <f>T("   300610")</f>
        <v xml:space="preserve">   300610</v>
      </c>
      <c r="B3457" t="s">
        <v>86</v>
      </c>
      <c r="C3457">
        <v>25994953</v>
      </c>
      <c r="D3457">
        <v>254</v>
      </c>
    </row>
    <row r="3458" spans="1:4" x14ac:dyDescent="0.25">
      <c r="A3458" t="str">
        <f>T("   320300")</f>
        <v xml:space="preserve">   320300</v>
      </c>
      <c r="B3458" t="s">
        <v>91</v>
      </c>
      <c r="C3458">
        <v>2063978</v>
      </c>
      <c r="D3458">
        <v>240</v>
      </c>
    </row>
    <row r="3459" spans="1:4" x14ac:dyDescent="0.25">
      <c r="A3459" t="str">
        <f>T("   320411")</f>
        <v xml:space="preserve">   320411</v>
      </c>
      <c r="B3459" t="s">
        <v>92</v>
      </c>
      <c r="C3459">
        <v>2297080</v>
      </c>
      <c r="D3459">
        <v>225</v>
      </c>
    </row>
    <row r="3460" spans="1:4" x14ac:dyDescent="0.25">
      <c r="A3460" t="str">
        <f>T("   321490")</f>
        <v xml:space="preserve">   321490</v>
      </c>
      <c r="B3460" t="str">
        <f>T("   Enduits non réfractaires des types utilisés en maçonnerie")</f>
        <v xml:space="preserve">   Enduits non réfractaires des types utilisés en maçonnerie</v>
      </c>
      <c r="C3460">
        <v>12480938</v>
      </c>
      <c r="D3460">
        <v>118190</v>
      </c>
    </row>
    <row r="3461" spans="1:4" x14ac:dyDescent="0.25">
      <c r="A3461" t="str">
        <f>T("   330300")</f>
        <v xml:space="preserve">   330300</v>
      </c>
      <c r="B3461"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3461">
        <v>7150622</v>
      </c>
      <c r="D3461">
        <v>21051</v>
      </c>
    </row>
    <row r="3462" spans="1:4" x14ac:dyDescent="0.25">
      <c r="A3462" t="str">
        <f>T("   330491")</f>
        <v xml:space="preserve">   330491</v>
      </c>
      <c r="B3462"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3462">
        <v>1678600</v>
      </c>
      <c r="D3462">
        <v>4213</v>
      </c>
    </row>
    <row r="3463" spans="1:4" x14ac:dyDescent="0.25">
      <c r="A3463" t="str">
        <f>T("   330499")</f>
        <v xml:space="preserve">   330499</v>
      </c>
      <c r="B3463" t="s">
        <v>106</v>
      </c>
      <c r="C3463">
        <v>9817318</v>
      </c>
      <c r="D3463">
        <v>22823</v>
      </c>
    </row>
    <row r="3464" spans="1:4" x14ac:dyDescent="0.25">
      <c r="A3464" t="str">
        <f>T("   330510")</f>
        <v xml:space="preserve">   330510</v>
      </c>
      <c r="B3464" t="str">
        <f>T("   Shampooings")</f>
        <v xml:space="preserve">   Shampooings</v>
      </c>
      <c r="C3464">
        <v>656615</v>
      </c>
      <c r="D3464">
        <v>2431</v>
      </c>
    </row>
    <row r="3465" spans="1:4" x14ac:dyDescent="0.25">
      <c r="A3465" t="str">
        <f>T("   330690")</f>
        <v xml:space="preserve">   330690</v>
      </c>
      <c r="B3465"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3465">
        <v>485410</v>
      </c>
      <c r="D3465">
        <v>1061</v>
      </c>
    </row>
    <row r="3466" spans="1:4" x14ac:dyDescent="0.25">
      <c r="A3466" t="str">
        <f>T("   330710")</f>
        <v xml:space="preserve">   330710</v>
      </c>
      <c r="B3466" t="str">
        <f>T("   Préparations pour le prérasage, le rasage ou l'après-rasage")</f>
        <v xml:space="preserve">   Préparations pour le prérasage, le rasage ou l'après-rasage</v>
      </c>
      <c r="C3466">
        <v>215156</v>
      </c>
      <c r="D3466">
        <v>531</v>
      </c>
    </row>
    <row r="3467" spans="1:4" x14ac:dyDescent="0.25">
      <c r="A3467" t="str">
        <f>T("   330720")</f>
        <v xml:space="preserve">   330720</v>
      </c>
      <c r="B3467" t="str">
        <f>T("   Désodorisants corporels et antisudoraux, préparés")</f>
        <v xml:space="preserve">   Désodorisants corporels et antisudoraux, préparés</v>
      </c>
      <c r="C3467">
        <v>415223</v>
      </c>
      <c r="D3467">
        <v>877</v>
      </c>
    </row>
    <row r="3468" spans="1:4" x14ac:dyDescent="0.25">
      <c r="A3468" t="str">
        <f>T("   330749")</f>
        <v xml:space="preserve">   330749</v>
      </c>
      <c r="B3468"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3468">
        <v>23510262</v>
      </c>
      <c r="D3468">
        <v>59973</v>
      </c>
    </row>
    <row r="3469" spans="1:4" x14ac:dyDescent="0.25">
      <c r="A3469" t="str">
        <f>T("   340111")</f>
        <v xml:space="preserve">   340111</v>
      </c>
      <c r="B3469" t="s">
        <v>107</v>
      </c>
      <c r="C3469">
        <v>2710426</v>
      </c>
      <c r="D3469">
        <v>8209</v>
      </c>
    </row>
    <row r="3470" spans="1:4" x14ac:dyDescent="0.25">
      <c r="A3470" t="str">
        <f>T("   340119")</f>
        <v xml:space="preserve">   340119</v>
      </c>
      <c r="B3470" t="s">
        <v>108</v>
      </c>
      <c r="C3470">
        <v>219909966</v>
      </c>
      <c r="D3470">
        <v>881985</v>
      </c>
    </row>
    <row r="3471" spans="1:4" x14ac:dyDescent="0.25">
      <c r="A3471" t="str">
        <f>T("   340120")</f>
        <v xml:space="preserve">   340120</v>
      </c>
      <c r="B3471" t="str">
        <f>T("   Savons en flocons, en paillettes, en granulés ou en poudres et savons liquides ou pâteux")</f>
        <v xml:space="preserve">   Savons en flocons, en paillettes, en granulés ou en poudres et savons liquides ou pâteux</v>
      </c>
      <c r="C3471">
        <v>78715</v>
      </c>
      <c r="D3471">
        <v>163</v>
      </c>
    </row>
    <row r="3472" spans="1:4" x14ac:dyDescent="0.25">
      <c r="A3472" t="str">
        <f>T("   340220")</f>
        <v xml:space="preserve">   340220</v>
      </c>
      <c r="B3472" t="s">
        <v>109</v>
      </c>
      <c r="C3472">
        <v>21548286</v>
      </c>
      <c r="D3472">
        <v>87365</v>
      </c>
    </row>
    <row r="3473" spans="1:4" x14ac:dyDescent="0.25">
      <c r="A3473" t="str">
        <f>T("   340399")</f>
        <v xml:space="preserve">   340399</v>
      </c>
      <c r="B3473" t="s">
        <v>112</v>
      </c>
      <c r="C3473">
        <v>1408707</v>
      </c>
      <c r="D3473">
        <v>710</v>
      </c>
    </row>
    <row r="3474" spans="1:4" x14ac:dyDescent="0.25">
      <c r="A3474" t="str">
        <f>T("   340520")</f>
        <v xml:space="preserve">   340520</v>
      </c>
      <c r="B3474" t="s">
        <v>115</v>
      </c>
      <c r="C3474">
        <v>197444</v>
      </c>
      <c r="D3474">
        <v>176</v>
      </c>
    </row>
    <row r="3475" spans="1:4" x14ac:dyDescent="0.25">
      <c r="A3475" t="str">
        <f>T("   340530")</f>
        <v xml:space="preserve">   340530</v>
      </c>
      <c r="B3475" t="s">
        <v>116</v>
      </c>
      <c r="C3475">
        <v>27551</v>
      </c>
      <c r="D3475">
        <v>152</v>
      </c>
    </row>
    <row r="3476" spans="1:4" x14ac:dyDescent="0.25">
      <c r="A3476" t="str">
        <f>T("   350691")</f>
        <v xml:space="preserve">   350691</v>
      </c>
      <c r="B3476"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3476">
        <v>5803934</v>
      </c>
      <c r="D3476">
        <v>2340</v>
      </c>
    </row>
    <row r="3477" spans="1:4" x14ac:dyDescent="0.25">
      <c r="A3477" t="str">
        <f>T("   350699")</f>
        <v xml:space="preserve">   350699</v>
      </c>
      <c r="B3477" t="str">
        <f>T("   Colles et autres adhésifs préparés, n.d.a.")</f>
        <v xml:space="preserve">   Colles et autres adhésifs préparés, n.d.a.</v>
      </c>
      <c r="C3477">
        <v>1268627</v>
      </c>
      <c r="D3477">
        <v>19200</v>
      </c>
    </row>
    <row r="3478" spans="1:4" x14ac:dyDescent="0.25">
      <c r="A3478" t="str">
        <f>T("   370590")</f>
        <v xml:space="preserve">   370590</v>
      </c>
      <c r="B3478"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3478">
        <v>437525</v>
      </c>
      <c r="D3478">
        <v>54</v>
      </c>
    </row>
    <row r="3479" spans="1:4" x14ac:dyDescent="0.25">
      <c r="A3479" t="str">
        <f>T("   380810")</f>
        <v xml:space="preserve">   380810</v>
      </c>
      <c r="B347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3479">
        <v>35499959</v>
      </c>
      <c r="D3479">
        <v>71350</v>
      </c>
    </row>
    <row r="3480" spans="1:4" x14ac:dyDescent="0.25">
      <c r="A3480" t="str">
        <f>T("   380890")</f>
        <v xml:space="preserve">   380890</v>
      </c>
      <c r="B3480"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3480">
        <v>10553740</v>
      </c>
      <c r="D3480">
        <v>11655</v>
      </c>
    </row>
    <row r="3481" spans="1:4" x14ac:dyDescent="0.25">
      <c r="A3481" t="str">
        <f>T("   380891")</f>
        <v xml:space="preserve">   380891</v>
      </c>
      <c r="B3481" t="str">
        <f>T("   INSECTICIDES (À L'EXCL. DES MARCHANDISES DU N° 3808.50)")</f>
        <v xml:space="preserve">   INSECTICIDES (À L'EXCL. DES MARCHANDISES DU N° 3808.50)</v>
      </c>
      <c r="C3481">
        <v>23476638</v>
      </c>
      <c r="D3481">
        <v>48631</v>
      </c>
    </row>
    <row r="3482" spans="1:4" x14ac:dyDescent="0.25">
      <c r="A3482" t="str">
        <f>T("   381190")</f>
        <v xml:space="preserve">   381190</v>
      </c>
      <c r="B3482" t="s">
        <v>131</v>
      </c>
      <c r="C3482">
        <v>5096809</v>
      </c>
      <c r="D3482">
        <v>22300</v>
      </c>
    </row>
    <row r="3483" spans="1:4" x14ac:dyDescent="0.25">
      <c r="A3483" t="str">
        <f>T("   381220")</f>
        <v xml:space="preserve">   381220</v>
      </c>
      <c r="B3483" t="str">
        <f>T("   Plastifiants composites pour caoutchouc ou matières plastiques, n.d.a.")</f>
        <v xml:space="preserve">   Plastifiants composites pour caoutchouc ou matières plastiques, n.d.a.</v>
      </c>
      <c r="C3483">
        <v>1090206</v>
      </c>
      <c r="D3483">
        <v>500</v>
      </c>
    </row>
    <row r="3484" spans="1:4" x14ac:dyDescent="0.25">
      <c r="A3484" t="str">
        <f>T("   381600")</f>
        <v xml:space="preserve">   381600</v>
      </c>
      <c r="B3484"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484">
        <v>142599144</v>
      </c>
      <c r="D3484">
        <v>133199</v>
      </c>
    </row>
    <row r="3485" spans="1:4" x14ac:dyDescent="0.25">
      <c r="A3485" t="str">
        <f>T("   382200")</f>
        <v xml:space="preserve">   382200</v>
      </c>
      <c r="B3485" t="s">
        <v>133</v>
      </c>
      <c r="C3485">
        <v>5196207</v>
      </c>
      <c r="D3485">
        <v>197</v>
      </c>
    </row>
    <row r="3486" spans="1:4" x14ac:dyDescent="0.25">
      <c r="A3486" t="str">
        <f>T("   390210")</f>
        <v xml:space="preserve">   390210</v>
      </c>
      <c r="B3486" t="str">
        <f>T("   Polypropylène, sous formes primaires")</f>
        <v xml:space="preserve">   Polypropylène, sous formes primaires</v>
      </c>
      <c r="C3486">
        <v>23429579</v>
      </c>
      <c r="D3486">
        <v>44000</v>
      </c>
    </row>
    <row r="3487" spans="1:4" x14ac:dyDescent="0.25">
      <c r="A3487" t="str">
        <f>T("   390390")</f>
        <v xml:space="preserve">   390390</v>
      </c>
      <c r="B348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3487">
        <v>3243066</v>
      </c>
      <c r="D3487">
        <v>525</v>
      </c>
    </row>
    <row r="3488" spans="1:4" x14ac:dyDescent="0.25">
      <c r="A3488" t="str">
        <f>T("   390521")</f>
        <v xml:space="preserve">   390521</v>
      </c>
      <c r="B3488" t="str">
        <f>T("   Copolymères d'acétate de vinyle, en dispersion aqueuse")</f>
        <v xml:space="preserve">   Copolymères d'acétate de vinyle, en dispersion aqueuse</v>
      </c>
      <c r="C3488">
        <v>13573780</v>
      </c>
      <c r="D3488">
        <v>15700</v>
      </c>
    </row>
    <row r="3489" spans="1:4" x14ac:dyDescent="0.25">
      <c r="A3489" t="str">
        <f>T("   390690")</f>
        <v xml:space="preserve">   390690</v>
      </c>
      <c r="B3489" t="str">
        <f>T("   Polymères acryliques, sous formes primaires (à l'excl. du poly[méthacrylate de méthyle])")</f>
        <v xml:space="preserve">   Polymères acryliques, sous formes primaires (à l'excl. du poly[méthacrylate de méthyle])</v>
      </c>
      <c r="C3489">
        <v>13572671</v>
      </c>
      <c r="D3489">
        <v>21760</v>
      </c>
    </row>
    <row r="3490" spans="1:4" x14ac:dyDescent="0.25">
      <c r="A3490" t="str">
        <f>T("   390750")</f>
        <v xml:space="preserve">   390750</v>
      </c>
      <c r="B3490" t="str">
        <f>T("   Résines alkydes, sous formes primaires")</f>
        <v xml:space="preserve">   Résines alkydes, sous formes primaires</v>
      </c>
      <c r="C3490">
        <v>43951288</v>
      </c>
      <c r="D3490">
        <v>51120</v>
      </c>
    </row>
    <row r="3491" spans="1:4" x14ac:dyDescent="0.25">
      <c r="A3491" t="str">
        <f>T("   390799")</f>
        <v xml:space="preserve">   390799</v>
      </c>
      <c r="B3491"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3491">
        <v>15188754</v>
      </c>
      <c r="D3491">
        <v>17710</v>
      </c>
    </row>
    <row r="3492" spans="1:4" x14ac:dyDescent="0.25">
      <c r="A3492" t="str">
        <f>T("   391721")</f>
        <v xml:space="preserve">   391721</v>
      </c>
      <c r="B3492" t="str">
        <f>T("   TUBES ET TUYAUX RIGIDES, EN POLYMÈRES DE L'ÉTHYLÈNE")</f>
        <v xml:space="preserve">   TUBES ET TUYAUX RIGIDES, EN POLYMÈRES DE L'ÉTHYLÈNE</v>
      </c>
      <c r="C3492">
        <v>73468</v>
      </c>
      <c r="D3492">
        <v>45</v>
      </c>
    </row>
    <row r="3493" spans="1:4" x14ac:dyDescent="0.25">
      <c r="A3493" t="str">
        <f>T("   391723")</f>
        <v xml:space="preserve">   391723</v>
      </c>
      <c r="B3493" t="str">
        <f>T("   TUBES ET TUYAUX RIGIDES, EN POLYMÈRES DU CHLORURE DE VINYLE")</f>
        <v xml:space="preserve">   TUBES ET TUYAUX RIGIDES, EN POLYMÈRES DU CHLORURE DE VINYLE</v>
      </c>
      <c r="C3493">
        <v>2589730</v>
      </c>
      <c r="D3493">
        <v>570</v>
      </c>
    </row>
    <row r="3494" spans="1:4" x14ac:dyDescent="0.25">
      <c r="A3494" t="str">
        <f>T("   391739")</f>
        <v xml:space="preserve">   391739</v>
      </c>
      <c r="B349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3494">
        <v>401448</v>
      </c>
      <c r="D3494">
        <v>717</v>
      </c>
    </row>
    <row r="3495" spans="1:4" x14ac:dyDescent="0.25">
      <c r="A3495" t="str">
        <f>T("   392010")</f>
        <v xml:space="preserve">   392010</v>
      </c>
      <c r="B3495" t="s">
        <v>140</v>
      </c>
      <c r="C3495">
        <v>80340670</v>
      </c>
      <c r="D3495">
        <v>47022</v>
      </c>
    </row>
    <row r="3496" spans="1:4" x14ac:dyDescent="0.25">
      <c r="A3496" t="str">
        <f>T("   392099")</f>
        <v xml:space="preserve">   392099</v>
      </c>
      <c r="B3496" t="s">
        <v>150</v>
      </c>
      <c r="C3496">
        <v>37881034</v>
      </c>
      <c r="D3496">
        <v>14100</v>
      </c>
    </row>
    <row r="3497" spans="1:4" x14ac:dyDescent="0.25">
      <c r="A3497" t="str">
        <f>T("   392210")</f>
        <v xml:space="preserve">   392210</v>
      </c>
      <c r="B3497" t="str">
        <f>T("   Baignoires, douches, éviers et lavabos, en matières plastiques")</f>
        <v xml:space="preserve">   Baignoires, douches, éviers et lavabos, en matières plastiques</v>
      </c>
      <c r="C3497">
        <v>3865368</v>
      </c>
      <c r="D3497">
        <v>1854</v>
      </c>
    </row>
    <row r="3498" spans="1:4" x14ac:dyDescent="0.25">
      <c r="A3498" t="str">
        <f>T("   392220")</f>
        <v xml:space="preserve">   392220</v>
      </c>
      <c r="B3498" t="str">
        <f>T("   Sièges et couvercles de cuvettes d'aisance, en matières plastiques")</f>
        <v xml:space="preserve">   Sièges et couvercles de cuvettes d'aisance, en matières plastiques</v>
      </c>
      <c r="C3498">
        <v>4567318</v>
      </c>
      <c r="D3498">
        <v>3698</v>
      </c>
    </row>
    <row r="3499" spans="1:4" x14ac:dyDescent="0.25">
      <c r="A3499" t="str">
        <f>T("   392290")</f>
        <v xml:space="preserve">   392290</v>
      </c>
      <c r="B3499"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3499">
        <v>3029223</v>
      </c>
      <c r="D3499">
        <v>880</v>
      </c>
    </row>
    <row r="3500" spans="1:4" x14ac:dyDescent="0.25">
      <c r="A3500" t="str">
        <f>T("   392329")</f>
        <v xml:space="preserve">   392329</v>
      </c>
      <c r="B3500" t="str">
        <f>T("   Sacs, sachets, pochettes et cornets, en matières plastiques (autres que les polymères de l'éthylène)")</f>
        <v xml:space="preserve">   Sacs, sachets, pochettes et cornets, en matières plastiques (autres que les polymères de l'éthylène)</v>
      </c>
      <c r="C3500">
        <v>185000</v>
      </c>
      <c r="D3500">
        <v>40</v>
      </c>
    </row>
    <row r="3501" spans="1:4" x14ac:dyDescent="0.25">
      <c r="A3501" t="str">
        <f>T("   392350")</f>
        <v xml:space="preserve">   392350</v>
      </c>
      <c r="B3501" t="str">
        <f>T("   Bouchons, couvercles, capsules et autres dispositifs de fermeture, en matières plastiques")</f>
        <v xml:space="preserve">   Bouchons, couvercles, capsules et autres dispositifs de fermeture, en matières plastiques</v>
      </c>
      <c r="C3501">
        <v>333531864</v>
      </c>
      <c r="D3501">
        <v>126658</v>
      </c>
    </row>
    <row r="3502" spans="1:4" x14ac:dyDescent="0.25">
      <c r="A3502" t="str">
        <f>T("   392390")</f>
        <v xml:space="preserve">   392390</v>
      </c>
      <c r="B3502" t="s">
        <v>156</v>
      </c>
      <c r="C3502">
        <v>58672869</v>
      </c>
      <c r="D3502">
        <v>5368</v>
      </c>
    </row>
    <row r="3503" spans="1:4" x14ac:dyDescent="0.25">
      <c r="A3503" t="str">
        <f>T("   392490")</f>
        <v xml:space="preserve">   392490</v>
      </c>
      <c r="B3503" t="s">
        <v>157</v>
      </c>
      <c r="C3503">
        <v>3113278</v>
      </c>
      <c r="D3503">
        <v>3548</v>
      </c>
    </row>
    <row r="3504" spans="1:4" x14ac:dyDescent="0.25">
      <c r="A3504" t="str">
        <f>T("   392590")</f>
        <v xml:space="preserve">   392590</v>
      </c>
      <c r="B3504" t="s">
        <v>158</v>
      </c>
      <c r="C3504">
        <v>8783777</v>
      </c>
      <c r="D3504">
        <v>6100</v>
      </c>
    </row>
    <row r="3505" spans="1:4" x14ac:dyDescent="0.25">
      <c r="A3505" t="str">
        <f>T("   392690")</f>
        <v xml:space="preserve">   392690</v>
      </c>
      <c r="B3505" t="str">
        <f>T("   Ouvrages en matières plastiques et ouvrages en autres matières du n° 3901 à 3914, n.d.a.")</f>
        <v xml:space="preserve">   Ouvrages en matières plastiques et ouvrages en autres matières du n° 3901 à 3914, n.d.a.</v>
      </c>
      <c r="C3505">
        <v>4438048</v>
      </c>
      <c r="D3505">
        <v>1922</v>
      </c>
    </row>
    <row r="3506" spans="1:4" x14ac:dyDescent="0.25">
      <c r="A3506" t="str">
        <f>T("   400129")</f>
        <v xml:space="preserve">   400129</v>
      </c>
      <c r="B3506" t="str">
        <f>T("   Caoutchouc naturel, sous formes primaires ou en plaques, feuilles ou bandes (à l'excl. du latex de caoutchouc naturel, même prévulcanisé, des produits sous forme de feuilles fumées ainsi que des caoutchoucs techniquement spécifiés [TSNR])")</f>
        <v xml:space="preserve">   Caoutchouc naturel, sous formes primaires ou en plaques, feuilles ou bandes (à l'excl. du latex de caoutchouc naturel, même prévulcanisé, des produits sous forme de feuilles fumées ainsi que des caoutchoucs techniquement spécifiés [TSNR])</v>
      </c>
      <c r="C3506">
        <v>1131531</v>
      </c>
      <c r="D3506">
        <v>126</v>
      </c>
    </row>
    <row r="3507" spans="1:4" x14ac:dyDescent="0.25">
      <c r="A3507" t="str">
        <f>T("   400911")</f>
        <v xml:space="preserve">   400911</v>
      </c>
      <c r="B3507"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507">
        <v>452586</v>
      </c>
      <c r="D3507">
        <v>51</v>
      </c>
    </row>
    <row r="3508" spans="1:4" x14ac:dyDescent="0.25">
      <c r="A3508" t="str">
        <f>T("   400942")</f>
        <v xml:space="preserve">   400942</v>
      </c>
      <c r="B3508" t="s">
        <v>163</v>
      </c>
      <c r="C3508">
        <v>171862</v>
      </c>
      <c r="D3508">
        <v>537</v>
      </c>
    </row>
    <row r="3509" spans="1:4" x14ac:dyDescent="0.25">
      <c r="A3509" t="str">
        <f>T("   401511")</f>
        <v xml:space="preserve">   401511</v>
      </c>
      <c r="B3509" t="str">
        <f>T("   Gants en caoutchouc vulcanisé non durci, pour la chirurgie")</f>
        <v xml:space="preserve">   Gants en caoutchouc vulcanisé non durci, pour la chirurgie</v>
      </c>
      <c r="C3509">
        <v>4866192</v>
      </c>
      <c r="D3509">
        <v>1277</v>
      </c>
    </row>
    <row r="3510" spans="1:4" x14ac:dyDescent="0.25">
      <c r="A3510" t="str">
        <f>T("   401699")</f>
        <v xml:space="preserve">   401699</v>
      </c>
      <c r="B3510" t="str">
        <f>T("   OUVRAGES EN CAOUTCHOUC VULCANISÉ NON-DURCI, N.D.A.")</f>
        <v xml:space="preserve">   OUVRAGES EN CAOUTCHOUC VULCANISÉ NON-DURCI, N.D.A.</v>
      </c>
      <c r="C3510">
        <v>1219404</v>
      </c>
      <c r="D3510">
        <v>379</v>
      </c>
    </row>
    <row r="3511" spans="1:4" x14ac:dyDescent="0.25">
      <c r="A3511" t="str">
        <f>T("   441820")</f>
        <v xml:space="preserve">   441820</v>
      </c>
      <c r="B3511" t="str">
        <f>T("   Portes et leurs cadres, chambranles et seuils, en bois")</f>
        <v xml:space="preserve">   Portes et leurs cadres, chambranles et seuils, en bois</v>
      </c>
      <c r="C3511">
        <v>131192</v>
      </c>
      <c r="D3511">
        <v>1050</v>
      </c>
    </row>
    <row r="3512" spans="1:4" x14ac:dyDescent="0.25">
      <c r="A3512" t="str">
        <f>T("   442010")</f>
        <v xml:space="preserve">   442010</v>
      </c>
      <c r="B3512" t="str">
        <f>T("   Statuettes et autres objets d'ornement, en bois (autres que marquetés ou incrustés)")</f>
        <v xml:space="preserve">   Statuettes et autres objets d'ornement, en bois (autres que marquetés ou incrustés)</v>
      </c>
      <c r="C3512">
        <v>34853</v>
      </c>
      <c r="D3512">
        <v>400</v>
      </c>
    </row>
    <row r="3513" spans="1:4" x14ac:dyDescent="0.25">
      <c r="A3513" t="str">
        <f>T("   480258")</f>
        <v xml:space="preserve">   480258</v>
      </c>
      <c r="B3513" t="s">
        <v>209</v>
      </c>
      <c r="C3513">
        <v>1267315</v>
      </c>
      <c r="D3513">
        <v>500</v>
      </c>
    </row>
    <row r="3514" spans="1:4" x14ac:dyDescent="0.25">
      <c r="A3514" t="str">
        <f>T("   481110")</f>
        <v xml:space="preserve">   481110</v>
      </c>
      <c r="B3514"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3514">
        <v>35277424</v>
      </c>
      <c r="D3514">
        <v>74480</v>
      </c>
    </row>
    <row r="3515" spans="1:4" x14ac:dyDescent="0.25">
      <c r="A3515" t="str">
        <f>T("   481810")</f>
        <v xml:space="preserve">   481810</v>
      </c>
      <c r="B3515" t="str">
        <f>T("   Papier hygiénique, en rouleaux d'une largeur &lt;= 36 cm")</f>
        <v xml:space="preserve">   Papier hygiénique, en rouleaux d'une largeur &lt;= 36 cm</v>
      </c>
      <c r="C3515">
        <v>15293052</v>
      </c>
      <c r="D3515">
        <v>7077</v>
      </c>
    </row>
    <row r="3516" spans="1:4" x14ac:dyDescent="0.25">
      <c r="A3516" t="str">
        <f>T("   481820")</f>
        <v xml:space="preserve">   481820</v>
      </c>
      <c r="B3516"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3516">
        <v>263041</v>
      </c>
      <c r="D3516">
        <v>76</v>
      </c>
    </row>
    <row r="3517" spans="1:4" x14ac:dyDescent="0.25">
      <c r="A3517" t="str">
        <f>T("   481840")</f>
        <v xml:space="preserve">   481840</v>
      </c>
      <c r="B351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3517">
        <v>262384</v>
      </c>
      <c r="D3517">
        <v>2093</v>
      </c>
    </row>
    <row r="3518" spans="1:4" x14ac:dyDescent="0.25">
      <c r="A3518" t="str">
        <f>T("   481910")</f>
        <v xml:space="preserve">   481910</v>
      </c>
      <c r="B3518" t="str">
        <f>T("   Boîtes et caisses en papier ou en carton ondulé")</f>
        <v xml:space="preserve">   Boîtes et caisses en papier ou en carton ondulé</v>
      </c>
      <c r="C3518">
        <v>3451323</v>
      </c>
      <c r="D3518">
        <v>457</v>
      </c>
    </row>
    <row r="3519" spans="1:4" x14ac:dyDescent="0.25">
      <c r="A3519" t="str">
        <f>T("   481920")</f>
        <v xml:space="preserve">   481920</v>
      </c>
      <c r="B3519" t="str">
        <f>T("   Boîtes et cartonnages, pliants, en papier ou en carton non ondulé")</f>
        <v xml:space="preserve">   Boîtes et cartonnages, pliants, en papier ou en carton non ondulé</v>
      </c>
      <c r="C3519">
        <v>13373994</v>
      </c>
      <c r="D3519">
        <v>10018</v>
      </c>
    </row>
    <row r="3520" spans="1:4" x14ac:dyDescent="0.25">
      <c r="A3520" t="str">
        <f>T("   481930")</f>
        <v xml:space="preserve">   481930</v>
      </c>
      <c r="B3520" t="str">
        <f>T("   Sacs, en papier, carton, ouate de cellulose ou nappes de fibres de cellulose, d'une largeur à la base &gt;= 40 cm")</f>
        <v xml:space="preserve">   Sacs, en papier, carton, ouate de cellulose ou nappes de fibres de cellulose, d'une largeur à la base &gt;= 40 cm</v>
      </c>
      <c r="C3520">
        <v>101829263</v>
      </c>
      <c r="D3520">
        <v>152677</v>
      </c>
    </row>
    <row r="3521" spans="1:4" x14ac:dyDescent="0.25">
      <c r="A3521" t="str">
        <f>T("   482090")</f>
        <v xml:space="preserve">   482090</v>
      </c>
      <c r="B3521" t="s">
        <v>234</v>
      </c>
      <c r="C3521">
        <v>440241</v>
      </c>
      <c r="D3521">
        <v>2639</v>
      </c>
    </row>
    <row r="3522" spans="1:4" x14ac:dyDescent="0.25">
      <c r="A3522" t="str">
        <f>T("   490199")</f>
        <v xml:space="preserve">   490199</v>
      </c>
      <c r="B352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522">
        <v>10367907</v>
      </c>
      <c r="D3522">
        <v>3583</v>
      </c>
    </row>
    <row r="3523" spans="1:4" x14ac:dyDescent="0.25">
      <c r="A3523" t="str">
        <f>T("   490599")</f>
        <v xml:space="preserve">   490599</v>
      </c>
      <c r="B3523"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3523">
        <v>21306892</v>
      </c>
      <c r="D3523">
        <v>1432</v>
      </c>
    </row>
    <row r="3524" spans="1:4" x14ac:dyDescent="0.25">
      <c r="A3524" t="str">
        <f>T("   491110")</f>
        <v xml:space="preserve">   491110</v>
      </c>
      <c r="B3524" t="str">
        <f>T("   Imprimés publicitaires, catalogues commerciaux et simil.")</f>
        <v xml:space="preserve">   Imprimés publicitaires, catalogues commerciaux et simil.</v>
      </c>
      <c r="C3524">
        <v>1054130</v>
      </c>
      <c r="D3524">
        <v>399</v>
      </c>
    </row>
    <row r="3525" spans="1:4" x14ac:dyDescent="0.25">
      <c r="A3525" t="str">
        <f>T("   560110")</f>
        <v xml:space="preserve">   560110</v>
      </c>
      <c r="B3525" t="str">
        <f>T("   Serviettes et tampons hygiéniques, couches pour bébés et articles hygiéniques simil., en ouates")</f>
        <v xml:space="preserve">   Serviettes et tampons hygiéniques, couches pour bébés et articles hygiéniques simil., en ouates</v>
      </c>
      <c r="C3525">
        <v>960326</v>
      </c>
      <c r="D3525">
        <v>2057</v>
      </c>
    </row>
    <row r="3526" spans="1:4" x14ac:dyDescent="0.25">
      <c r="A3526" t="str">
        <f>T("   610469")</f>
        <v xml:space="preserve">   610469</v>
      </c>
      <c r="B3526" t="s">
        <v>280</v>
      </c>
      <c r="C3526">
        <v>17980693</v>
      </c>
      <c r="D3526">
        <v>6361</v>
      </c>
    </row>
    <row r="3527" spans="1:4" x14ac:dyDescent="0.25">
      <c r="A3527" t="str">
        <f>T("   610819")</f>
        <v xml:space="preserve">   610819</v>
      </c>
      <c r="B3527" t="str">
        <f>T("   Combinaisons ou fonds de robes et jupons, en bonneterie, de matières textiles, pour femmes ou fillettes (sauf de fibres synthétiques ou artificielles et sauf T-shirts et gilets de corps)")</f>
        <v xml:space="preserve">   Combinaisons ou fonds de robes et jupons, en bonneterie, de matières textiles, pour femmes ou fillettes (sauf de fibres synthétiques ou artificielles et sauf T-shirts et gilets de corps)</v>
      </c>
      <c r="C3527">
        <v>6126112</v>
      </c>
      <c r="D3527">
        <v>980</v>
      </c>
    </row>
    <row r="3528" spans="1:4" x14ac:dyDescent="0.25">
      <c r="A3528" t="str">
        <f>T("   610910")</f>
        <v xml:space="preserve">   610910</v>
      </c>
      <c r="B3528" t="str">
        <f>T("   T-shirts et maillots de corps, en bonneterie, de coton,")</f>
        <v xml:space="preserve">   T-shirts et maillots de corps, en bonneterie, de coton,</v>
      </c>
      <c r="C3528">
        <v>131848</v>
      </c>
      <c r="D3528">
        <v>45</v>
      </c>
    </row>
    <row r="3529" spans="1:4" x14ac:dyDescent="0.25">
      <c r="A3529" t="str">
        <f>T("   610990")</f>
        <v xml:space="preserve">   610990</v>
      </c>
      <c r="B3529" t="str">
        <f>T("   T-shirts et maillots de corps, en bonneterie, de matières textiles (sauf de coton)")</f>
        <v xml:space="preserve">   T-shirts et maillots de corps, en bonneterie, de matières textiles (sauf de coton)</v>
      </c>
      <c r="C3529">
        <v>314832</v>
      </c>
      <c r="D3529">
        <v>55</v>
      </c>
    </row>
    <row r="3530" spans="1:4" x14ac:dyDescent="0.25">
      <c r="A3530" t="str">
        <f>T("   620630")</f>
        <v xml:space="preserve">   620630</v>
      </c>
      <c r="B3530"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3530">
        <v>4017744</v>
      </c>
      <c r="D3530">
        <v>36</v>
      </c>
    </row>
    <row r="3531" spans="1:4" x14ac:dyDescent="0.25">
      <c r="A3531" t="str">
        <f>T("   621030")</f>
        <v xml:space="preserve">   621030</v>
      </c>
      <c r="B3531"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3531">
        <v>772990</v>
      </c>
      <c r="D3531">
        <v>10</v>
      </c>
    </row>
    <row r="3532" spans="1:4" x14ac:dyDescent="0.25">
      <c r="A3532" t="str">
        <f>T("   621040")</f>
        <v xml:space="preserve">   621040</v>
      </c>
      <c r="B3532" t="s">
        <v>294</v>
      </c>
      <c r="C3532">
        <v>408007</v>
      </c>
      <c r="D3532">
        <v>15799</v>
      </c>
    </row>
    <row r="3533" spans="1:4" x14ac:dyDescent="0.25">
      <c r="A3533" t="str">
        <f>T("   630399")</f>
        <v xml:space="preserve">   630399</v>
      </c>
      <c r="B3533"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3533">
        <v>9836522</v>
      </c>
      <c r="D3533">
        <v>9265</v>
      </c>
    </row>
    <row r="3534" spans="1:4" x14ac:dyDescent="0.25">
      <c r="A3534" t="str">
        <f>T("   630629")</f>
        <v xml:space="preserve">   630629</v>
      </c>
      <c r="B3534" t="str">
        <f>T("   Tentes de matières textiles (autres que de coton ou fibres synthétiques et sauf paravents)")</f>
        <v xml:space="preserve">   Tentes de matières textiles (autres que de coton ou fibres synthétiques et sauf paravents)</v>
      </c>
      <c r="C3534">
        <v>14103151</v>
      </c>
      <c r="D3534">
        <v>7140</v>
      </c>
    </row>
    <row r="3535" spans="1:4" x14ac:dyDescent="0.25">
      <c r="A3535" t="str">
        <f>T("   630900")</f>
        <v xml:space="preserve">   630900</v>
      </c>
      <c r="B3535" t="s">
        <v>300</v>
      </c>
      <c r="C3535">
        <v>62740539</v>
      </c>
      <c r="D3535">
        <v>105405</v>
      </c>
    </row>
    <row r="3536" spans="1:4" x14ac:dyDescent="0.25">
      <c r="A3536" t="str">
        <f>T("   640299")</f>
        <v xml:space="preserve">   640299</v>
      </c>
      <c r="B3536" t="s">
        <v>305</v>
      </c>
      <c r="C3536">
        <v>7700000</v>
      </c>
      <c r="D3536">
        <v>11000</v>
      </c>
    </row>
    <row r="3537" spans="1:4" x14ac:dyDescent="0.25">
      <c r="A3537" t="str">
        <f>T("   640590")</f>
        <v xml:space="preserve">   640590</v>
      </c>
      <c r="B3537" t="s">
        <v>311</v>
      </c>
      <c r="C3537">
        <v>5400642</v>
      </c>
      <c r="D3537">
        <v>844</v>
      </c>
    </row>
    <row r="3538" spans="1:4" x14ac:dyDescent="0.25">
      <c r="A3538" t="str">
        <f>T("   660199")</f>
        <v xml:space="preserve">   660199</v>
      </c>
      <c r="B3538"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538">
        <v>121353</v>
      </c>
      <c r="D3538">
        <v>20</v>
      </c>
    </row>
    <row r="3539" spans="1:4" x14ac:dyDescent="0.25">
      <c r="A3539" t="str">
        <f>T("   680223")</f>
        <v xml:space="preserve">   680223</v>
      </c>
      <c r="B3539"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3539">
        <v>17965957</v>
      </c>
      <c r="D3539">
        <v>123033</v>
      </c>
    </row>
    <row r="3540" spans="1:4" x14ac:dyDescent="0.25">
      <c r="A3540" t="str">
        <f>T("   680291")</f>
        <v xml:space="preserve">   680291</v>
      </c>
      <c r="B3540" t="s">
        <v>317</v>
      </c>
      <c r="C3540">
        <v>22502708</v>
      </c>
      <c r="D3540">
        <v>81200</v>
      </c>
    </row>
    <row r="3541" spans="1:4" x14ac:dyDescent="0.25">
      <c r="A3541" t="str">
        <f>T("   680690")</f>
        <v xml:space="preserve">   680690</v>
      </c>
      <c r="B3541" t="s">
        <v>323</v>
      </c>
      <c r="C3541">
        <v>4060000</v>
      </c>
      <c r="D3541">
        <v>416</v>
      </c>
    </row>
    <row r="3542" spans="1:4" x14ac:dyDescent="0.25">
      <c r="A3542" t="str">
        <f>T("   680710")</f>
        <v xml:space="preserve">   680710</v>
      </c>
      <c r="B3542" t="str">
        <f>T("   Ouvrages en asphalte ou en produits simil., p.ex. poix de pétrole, brais, en rouleaux")</f>
        <v xml:space="preserve">   Ouvrages en asphalte ou en produits simil., p.ex. poix de pétrole, brais, en rouleaux</v>
      </c>
      <c r="C3542">
        <v>15654564</v>
      </c>
      <c r="D3542">
        <v>38440</v>
      </c>
    </row>
    <row r="3543" spans="1:4" x14ac:dyDescent="0.25">
      <c r="A3543" t="str">
        <f>T("   681140")</f>
        <v xml:space="preserve">   681140</v>
      </c>
      <c r="B3543" t="str">
        <f>T("   OUVRAGES EN AMIANTE-CIMENT, CELLULOSE-CIMENT OU SIMIL., CONTENANT DE L'AMIANTE")</f>
        <v xml:space="preserve">   OUVRAGES EN AMIANTE-CIMENT, CELLULOSE-CIMENT OU SIMIL., CONTENANT DE L'AMIANTE</v>
      </c>
      <c r="C3543">
        <v>2184347</v>
      </c>
      <c r="D3543">
        <v>25000</v>
      </c>
    </row>
    <row r="3544" spans="1:4" x14ac:dyDescent="0.25">
      <c r="A3544" t="str">
        <f>T("   681182")</f>
        <v xml:space="preserve">   681182</v>
      </c>
      <c r="B3544" t="str">
        <f>T("   PLAQUES, PANNEAUX, CARREAUX, TUILES ET ARTICLES SIMIL., EN CELLULOSE-CIMENT OU SIMIL., NE CONTENANT PAS DE L'AMIANTE (SAUF PLAQUES ONDULÉES)")</f>
        <v xml:space="preserve">   PLAQUES, PANNEAUX, CARREAUX, TUILES ET ARTICLES SIMIL., EN CELLULOSE-CIMENT OU SIMIL., NE CONTENANT PAS DE L'AMIANTE (SAUF PLAQUES ONDULÉES)</v>
      </c>
      <c r="C3544">
        <v>8978781</v>
      </c>
      <c r="D3544">
        <v>91600</v>
      </c>
    </row>
    <row r="3545" spans="1:4" x14ac:dyDescent="0.25">
      <c r="A3545" t="str">
        <f>T("   690220")</f>
        <v xml:space="preserve">   690220</v>
      </c>
      <c r="B3545" t="s">
        <v>329</v>
      </c>
      <c r="C3545">
        <v>46904420</v>
      </c>
      <c r="D3545">
        <v>134614</v>
      </c>
    </row>
    <row r="3546" spans="1:4" x14ac:dyDescent="0.25">
      <c r="A3546" t="str">
        <f>T("   690510")</f>
        <v xml:space="preserve">   690510</v>
      </c>
      <c r="B3546" t="str">
        <f>T("   Tuiles")</f>
        <v xml:space="preserve">   Tuiles</v>
      </c>
      <c r="C3546">
        <v>21870348</v>
      </c>
      <c r="D3546">
        <v>215265</v>
      </c>
    </row>
    <row r="3547" spans="1:4" x14ac:dyDescent="0.25">
      <c r="A3547" t="str">
        <f>T("   690590")</f>
        <v xml:space="preserve">   690590</v>
      </c>
      <c r="B3547" t="s">
        <v>334</v>
      </c>
      <c r="C3547">
        <v>11579006</v>
      </c>
      <c r="D3547">
        <v>33763</v>
      </c>
    </row>
    <row r="3548" spans="1:4" x14ac:dyDescent="0.25">
      <c r="A3548" t="str">
        <f>T("   690790")</f>
        <v xml:space="preserve">   690790</v>
      </c>
      <c r="B3548" t="s">
        <v>335</v>
      </c>
      <c r="C3548">
        <v>75315810</v>
      </c>
      <c r="D3548">
        <v>326070</v>
      </c>
    </row>
    <row r="3549" spans="1:4" x14ac:dyDescent="0.25">
      <c r="A3549" t="str">
        <f>T("   690810")</f>
        <v xml:space="preserve">   690810</v>
      </c>
      <c r="B3549"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3549">
        <v>5903640</v>
      </c>
      <c r="D3549">
        <v>25500</v>
      </c>
    </row>
    <row r="3550" spans="1:4" x14ac:dyDescent="0.25">
      <c r="A3550" t="str">
        <f>T("   690890")</f>
        <v xml:space="preserve">   690890</v>
      </c>
      <c r="B3550" t="s">
        <v>336</v>
      </c>
      <c r="C3550">
        <v>1642109166</v>
      </c>
      <c r="D3550">
        <v>7287514.7699999996</v>
      </c>
    </row>
    <row r="3551" spans="1:4" x14ac:dyDescent="0.25">
      <c r="A3551" t="str">
        <f>T("   691010")</f>
        <v xml:space="preserve">   691010</v>
      </c>
      <c r="B3551" t="s">
        <v>338</v>
      </c>
      <c r="C3551">
        <v>36243102</v>
      </c>
      <c r="D3551">
        <v>22794</v>
      </c>
    </row>
    <row r="3552" spans="1:4" x14ac:dyDescent="0.25">
      <c r="A3552" t="str">
        <f>T("   691090")</f>
        <v xml:space="preserve">   691090</v>
      </c>
      <c r="B3552" t="s">
        <v>339</v>
      </c>
      <c r="C3552">
        <v>75990336</v>
      </c>
      <c r="D3552">
        <v>75851</v>
      </c>
    </row>
    <row r="3553" spans="1:4" x14ac:dyDescent="0.25">
      <c r="A3553" t="str">
        <f>T("   691190")</f>
        <v xml:space="preserve">   691190</v>
      </c>
      <c r="B3553" t="s">
        <v>341</v>
      </c>
      <c r="C3553">
        <v>7433339</v>
      </c>
      <c r="D3553">
        <v>1467</v>
      </c>
    </row>
    <row r="3554" spans="1:4" x14ac:dyDescent="0.25">
      <c r="A3554" t="str">
        <f>T("   700319")</f>
        <v xml:space="preserve">   700319</v>
      </c>
      <c r="B3554"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3554">
        <v>2120000</v>
      </c>
      <c r="D3554">
        <v>695</v>
      </c>
    </row>
    <row r="3555" spans="1:4" x14ac:dyDescent="0.25">
      <c r="A3555" t="str">
        <f>T("   700510")</f>
        <v xml:space="preserve">   700510</v>
      </c>
      <c r="B3555"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3555">
        <v>597723</v>
      </c>
      <c r="D3555">
        <v>384</v>
      </c>
    </row>
    <row r="3556" spans="1:4" x14ac:dyDescent="0.25">
      <c r="A3556" t="str">
        <f>T("   700529")</f>
        <v xml:space="preserve">   700529</v>
      </c>
      <c r="B3556" t="s">
        <v>343</v>
      </c>
      <c r="C3556">
        <v>4321464</v>
      </c>
      <c r="D3556">
        <v>11906</v>
      </c>
    </row>
    <row r="3557" spans="1:4" x14ac:dyDescent="0.25">
      <c r="A3557" t="str">
        <f>T("   701090")</f>
        <v xml:space="preserve">   701090</v>
      </c>
      <c r="B3557" t="s">
        <v>348</v>
      </c>
      <c r="C3557">
        <v>570702230</v>
      </c>
      <c r="D3557">
        <v>1228421</v>
      </c>
    </row>
    <row r="3558" spans="1:4" x14ac:dyDescent="0.25">
      <c r="A3558" t="str">
        <f>T("   701610")</f>
        <v xml:space="preserve">   701610</v>
      </c>
      <c r="B3558"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3558">
        <v>9909864</v>
      </c>
      <c r="D3558">
        <v>16487</v>
      </c>
    </row>
    <row r="3559" spans="1:4" x14ac:dyDescent="0.25">
      <c r="A3559" t="str">
        <f>T("   711790")</f>
        <v xml:space="preserve">   711790</v>
      </c>
      <c r="B3559" t="str">
        <f>T("   Bijouterie de fantaisie (autre qu'en métaux communs, même argentés, dorés ou platinés)")</f>
        <v xml:space="preserve">   Bijouterie de fantaisie (autre qu'en métaux communs, même argentés, dorés ou platinés)</v>
      </c>
      <c r="C3559">
        <v>1697063</v>
      </c>
      <c r="D3559">
        <v>432</v>
      </c>
    </row>
    <row r="3560" spans="1:4" x14ac:dyDescent="0.25">
      <c r="A3560" t="str">
        <f>T("   721011")</f>
        <v xml:space="preserve">   721011</v>
      </c>
      <c r="B3560" t="str">
        <f>T("   Produits laminés plats, en fer ou en aciers non alliés, d'une largeur &gt;= 600 mm, laminés à chaud ou à froid, étamés, d'une épaisseur &gt;= 0,5 mm")</f>
        <v xml:space="preserve">   Produits laminés plats, en fer ou en aciers non alliés, d'une largeur &gt;= 600 mm, laminés à chaud ou à froid, étamés, d'une épaisseur &gt;= 0,5 mm</v>
      </c>
      <c r="C3560">
        <v>21137970</v>
      </c>
      <c r="D3560">
        <v>20400</v>
      </c>
    </row>
    <row r="3561" spans="1:4" x14ac:dyDescent="0.25">
      <c r="A3561" t="str">
        <f>T("   730799")</f>
        <v xml:space="preserve">   730799</v>
      </c>
      <c r="B3561"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561">
        <v>1445565</v>
      </c>
      <c r="D3561">
        <v>163</v>
      </c>
    </row>
    <row r="3562" spans="1:4" x14ac:dyDescent="0.25">
      <c r="A3562" t="str">
        <f>T("   730820")</f>
        <v xml:space="preserve">   730820</v>
      </c>
      <c r="B3562" t="str">
        <f>T("   Tours et pylônes, en fer ou en acier")</f>
        <v xml:space="preserve">   Tours et pylônes, en fer ou en acier</v>
      </c>
      <c r="C3562">
        <v>21265836</v>
      </c>
      <c r="D3562">
        <v>42800</v>
      </c>
    </row>
    <row r="3563" spans="1:4" x14ac:dyDescent="0.25">
      <c r="A3563" t="str">
        <f>T("   730830")</f>
        <v xml:space="preserve">   730830</v>
      </c>
      <c r="B3563" t="str">
        <f>T("   Portes, fenêtres et leurs cadres et chambranles ainsi que leurs seuils, en fer ou en acier")</f>
        <v xml:space="preserve">   Portes, fenêtres et leurs cadres et chambranles ainsi que leurs seuils, en fer ou en acier</v>
      </c>
      <c r="C3563">
        <v>6165000</v>
      </c>
      <c r="D3563">
        <v>3000</v>
      </c>
    </row>
    <row r="3564" spans="1:4" x14ac:dyDescent="0.25">
      <c r="A3564" t="str">
        <f>T("   731590")</f>
        <v xml:space="preserve">   731590</v>
      </c>
      <c r="B3564"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3564">
        <v>34132222</v>
      </c>
      <c r="D3564">
        <v>5530</v>
      </c>
    </row>
    <row r="3565" spans="1:4" x14ac:dyDescent="0.25">
      <c r="A3565" t="str">
        <f>T("   731813")</f>
        <v xml:space="preserve">   731813</v>
      </c>
      <c r="B3565" t="str">
        <f>T("   Crochets et pitons à pas de vis en fonte, fer ou acier")</f>
        <v xml:space="preserve">   Crochets et pitons à pas de vis en fonte, fer ou acier</v>
      </c>
      <c r="C3565">
        <v>2661623</v>
      </c>
      <c r="D3565">
        <v>34</v>
      </c>
    </row>
    <row r="3566" spans="1:4" x14ac:dyDescent="0.25">
      <c r="A3566" t="str">
        <f>T("   731815")</f>
        <v xml:space="preserve">   731815</v>
      </c>
      <c r="B3566" t="s">
        <v>380</v>
      </c>
      <c r="C3566">
        <v>3094659</v>
      </c>
      <c r="D3566">
        <v>1619</v>
      </c>
    </row>
    <row r="3567" spans="1:4" x14ac:dyDescent="0.25">
      <c r="A3567" t="str">
        <f>T("   732111")</f>
        <v xml:space="preserve">   732111</v>
      </c>
      <c r="B3567" t="s">
        <v>382</v>
      </c>
      <c r="C3567">
        <v>1719901</v>
      </c>
      <c r="D3567">
        <v>100</v>
      </c>
    </row>
    <row r="3568" spans="1:4" x14ac:dyDescent="0.25">
      <c r="A3568" t="str">
        <f>T("   732181")</f>
        <v xml:space="preserve">   732181</v>
      </c>
      <c r="B3568" t="s">
        <v>384</v>
      </c>
      <c r="C3568">
        <v>131192</v>
      </c>
      <c r="D3568">
        <v>375</v>
      </c>
    </row>
    <row r="3569" spans="1:4" x14ac:dyDescent="0.25">
      <c r="A3569" t="str">
        <f>T("   732393")</f>
        <v xml:space="preserve">   732393</v>
      </c>
      <c r="B3569" t="s">
        <v>388</v>
      </c>
      <c r="C3569">
        <v>8495971</v>
      </c>
      <c r="D3569">
        <v>3060</v>
      </c>
    </row>
    <row r="3570" spans="1:4" x14ac:dyDescent="0.25">
      <c r="A3570" t="str">
        <f>T("   732399")</f>
        <v xml:space="preserve">   732399</v>
      </c>
      <c r="B3570" t="s">
        <v>390</v>
      </c>
      <c r="C3570">
        <v>2885356</v>
      </c>
      <c r="D3570">
        <v>10928</v>
      </c>
    </row>
    <row r="3571" spans="1:4" x14ac:dyDescent="0.25">
      <c r="A3571" t="str">
        <f>T("   732429")</f>
        <v xml:space="preserve">   732429</v>
      </c>
      <c r="B3571" t="str">
        <f>T("   Baignoires en tôle d'acier")</f>
        <v xml:space="preserve">   Baignoires en tôle d'acier</v>
      </c>
      <c r="C3571">
        <v>3236507</v>
      </c>
      <c r="D3571">
        <v>1918</v>
      </c>
    </row>
    <row r="3572" spans="1:4" x14ac:dyDescent="0.25">
      <c r="A3572" t="str">
        <f>T("   732490")</f>
        <v xml:space="preserve">   732490</v>
      </c>
      <c r="B3572" t="s">
        <v>391</v>
      </c>
      <c r="C3572">
        <v>85931</v>
      </c>
      <c r="D3572">
        <v>53</v>
      </c>
    </row>
    <row r="3573" spans="1:4" x14ac:dyDescent="0.25">
      <c r="A3573" t="str">
        <f>T("   732690")</f>
        <v xml:space="preserve">   732690</v>
      </c>
      <c r="B357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573">
        <v>13326418</v>
      </c>
      <c r="D3573">
        <v>11278</v>
      </c>
    </row>
    <row r="3574" spans="1:4" x14ac:dyDescent="0.25">
      <c r="A3574" t="str">
        <f>T("   761090")</f>
        <v xml:space="preserve">   761090</v>
      </c>
      <c r="B3574"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3574">
        <v>18108202</v>
      </c>
      <c r="D3574">
        <v>13160</v>
      </c>
    </row>
    <row r="3575" spans="1:4" x14ac:dyDescent="0.25">
      <c r="A3575" t="str">
        <f>T("   761520")</f>
        <v xml:space="preserve">   761520</v>
      </c>
      <c r="B3575"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3575">
        <v>957545</v>
      </c>
      <c r="D3575">
        <v>1153</v>
      </c>
    </row>
    <row r="3576" spans="1:4" x14ac:dyDescent="0.25">
      <c r="A3576" t="str">
        <f>T("   761699")</f>
        <v xml:space="preserve">   761699</v>
      </c>
      <c r="B3576" t="str">
        <f>T("   Ouvrages en aluminium, n.d.a.")</f>
        <v xml:space="preserve">   Ouvrages en aluminium, n.d.a.</v>
      </c>
      <c r="C3576">
        <v>835404</v>
      </c>
      <c r="D3576">
        <v>792</v>
      </c>
    </row>
    <row r="3577" spans="1:4" x14ac:dyDescent="0.25">
      <c r="A3577" t="str">
        <f>T("   820190")</f>
        <v xml:space="preserve">   820190</v>
      </c>
      <c r="B3577" t="s">
        <v>399</v>
      </c>
      <c r="C3577">
        <v>710733</v>
      </c>
      <c r="D3577">
        <v>921</v>
      </c>
    </row>
    <row r="3578" spans="1:4" x14ac:dyDescent="0.25">
      <c r="A3578" t="str">
        <f>T("   820790")</f>
        <v xml:space="preserve">   820790</v>
      </c>
      <c r="B3578" t="str">
        <f>T("   Outils interchangeables pour outillage à main, mécanique ou non, ou pour machines-outils, n.d.a.")</f>
        <v xml:space="preserve">   Outils interchangeables pour outillage à main, mécanique ou non, ou pour machines-outils, n.d.a.</v>
      </c>
      <c r="C3578">
        <v>10238232</v>
      </c>
      <c r="D3578">
        <v>1848</v>
      </c>
    </row>
    <row r="3579" spans="1:4" x14ac:dyDescent="0.25">
      <c r="A3579" t="str">
        <f>T("   821599")</f>
        <v xml:space="preserve">   821599</v>
      </c>
      <c r="B3579" t="s">
        <v>404</v>
      </c>
      <c r="C3579">
        <v>75000</v>
      </c>
      <c r="D3579">
        <v>1794</v>
      </c>
    </row>
    <row r="3580" spans="1:4" x14ac:dyDescent="0.25">
      <c r="A3580" t="str">
        <f>T("   830140")</f>
        <v xml:space="preserve">   830140</v>
      </c>
      <c r="B3580"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3580">
        <v>1435910</v>
      </c>
      <c r="D3580">
        <v>100</v>
      </c>
    </row>
    <row r="3581" spans="1:4" x14ac:dyDescent="0.25">
      <c r="A3581" t="str">
        <f>T("   830230")</f>
        <v xml:space="preserve">   830230</v>
      </c>
      <c r="B3581" t="str">
        <f>T("   Garnitures, ferrures et simil. en métaux communs, pour véhicules automobiles (sauf charnières et serrures)")</f>
        <v xml:space="preserve">   Garnitures, ferrures et simil. en métaux communs, pour véhicules automobiles (sauf charnières et serrures)</v>
      </c>
      <c r="C3581">
        <v>308190</v>
      </c>
      <c r="D3581">
        <v>50</v>
      </c>
    </row>
    <row r="3582" spans="1:4" x14ac:dyDescent="0.25">
      <c r="A3582" t="str">
        <f>T("   830790")</f>
        <v xml:space="preserve">   830790</v>
      </c>
      <c r="B3582" t="str">
        <f>T("   Tuyaux flexibles en métaux communs autres que le fer ou l'acier, même avec accessoires")</f>
        <v xml:space="preserve">   Tuyaux flexibles en métaux communs autres que le fer ou l'acier, même avec accessoires</v>
      </c>
      <c r="C3582">
        <v>2805013</v>
      </c>
      <c r="D3582">
        <v>120</v>
      </c>
    </row>
    <row r="3583" spans="1:4" x14ac:dyDescent="0.25">
      <c r="A3583" t="str">
        <f>T("   830990")</f>
        <v xml:space="preserve">   830990</v>
      </c>
      <c r="B3583"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3583">
        <v>3273419</v>
      </c>
      <c r="D3583">
        <v>208</v>
      </c>
    </row>
    <row r="3584" spans="1:4" x14ac:dyDescent="0.25">
      <c r="A3584" t="str">
        <f>T("   841311")</f>
        <v xml:space="preserve">   841311</v>
      </c>
      <c r="B3584"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3584">
        <v>3310630</v>
      </c>
      <c r="D3584">
        <v>267</v>
      </c>
    </row>
    <row r="3585" spans="1:4" x14ac:dyDescent="0.25">
      <c r="A3585" t="str">
        <f>T("   841350")</f>
        <v xml:space="preserve">   841350</v>
      </c>
      <c r="B3585" t="s">
        <v>417</v>
      </c>
      <c r="C3585">
        <v>75501304</v>
      </c>
      <c r="D3585">
        <v>8515</v>
      </c>
    </row>
    <row r="3586" spans="1:4" x14ac:dyDescent="0.25">
      <c r="A3586" t="str">
        <f>T("   841370")</f>
        <v xml:space="preserve">   841370</v>
      </c>
      <c r="B3586" t="s">
        <v>419</v>
      </c>
      <c r="C3586">
        <v>2167134</v>
      </c>
      <c r="D3586">
        <v>2054</v>
      </c>
    </row>
    <row r="3587" spans="1:4" x14ac:dyDescent="0.25">
      <c r="A3587" t="str">
        <f>T("   841381")</f>
        <v xml:space="preserve">   841381</v>
      </c>
      <c r="B3587" t="s">
        <v>420</v>
      </c>
      <c r="C3587">
        <v>1934426</v>
      </c>
      <c r="D3587">
        <v>3442</v>
      </c>
    </row>
    <row r="3588" spans="1:4" x14ac:dyDescent="0.25">
      <c r="A3588" t="str">
        <f>T("   841382")</f>
        <v xml:space="preserve">   841382</v>
      </c>
      <c r="B3588" t="str">
        <f>T("   Elévateurs à liquides (à l'excl. des pompes)")</f>
        <v xml:space="preserve">   Elévateurs à liquides (à l'excl. des pompes)</v>
      </c>
      <c r="C3588">
        <v>370617</v>
      </c>
      <c r="D3588">
        <v>107</v>
      </c>
    </row>
    <row r="3589" spans="1:4" x14ac:dyDescent="0.25">
      <c r="A3589" t="str">
        <f>T("   841510")</f>
        <v xml:space="preserve">   841510</v>
      </c>
      <c r="B3589" t="s">
        <v>422</v>
      </c>
      <c r="C3589">
        <v>13148728</v>
      </c>
      <c r="D3589">
        <v>3006</v>
      </c>
    </row>
    <row r="3590" spans="1:4" x14ac:dyDescent="0.25">
      <c r="A3590" t="str">
        <f>T("   841590")</f>
        <v xml:space="preserve">   841590</v>
      </c>
      <c r="B3590"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3590">
        <v>44094100</v>
      </c>
      <c r="D3590">
        <v>2031</v>
      </c>
    </row>
    <row r="3591" spans="1:4" x14ac:dyDescent="0.25">
      <c r="A3591" t="str">
        <f>T("   841829")</f>
        <v xml:space="preserve">   841829</v>
      </c>
      <c r="B3591" t="str">
        <f>T("   Réfrigérateurs ménagers à absorption, non-électriques")</f>
        <v xml:space="preserve">   Réfrigérateurs ménagers à absorption, non-électriques</v>
      </c>
      <c r="C3591">
        <v>5500225</v>
      </c>
      <c r="D3591">
        <v>3500</v>
      </c>
    </row>
    <row r="3592" spans="1:4" x14ac:dyDescent="0.25">
      <c r="A3592" t="str">
        <f>T("   841911")</f>
        <v xml:space="preserve">   841911</v>
      </c>
      <c r="B3592" t="str">
        <f>T("   Chauffe-eau à chauffage instantané, à gaz (à l'excl. des chaudières ou générateurs mixtes pour chauffage central)")</f>
        <v xml:space="preserve">   Chauffe-eau à chauffage instantané, à gaz (à l'excl. des chaudières ou générateurs mixtes pour chauffage central)</v>
      </c>
      <c r="C3592">
        <v>1352852</v>
      </c>
      <c r="D3592">
        <v>85</v>
      </c>
    </row>
    <row r="3593" spans="1:4" x14ac:dyDescent="0.25">
      <c r="A3593" t="str">
        <f>T("   842121")</f>
        <v xml:space="preserve">   842121</v>
      </c>
      <c r="B3593" t="str">
        <f>T("   Appareils pour la filtration ou l'épuration des eaux")</f>
        <v xml:space="preserve">   Appareils pour la filtration ou l'épuration des eaux</v>
      </c>
      <c r="C3593">
        <v>8879940</v>
      </c>
      <c r="D3593">
        <v>12214</v>
      </c>
    </row>
    <row r="3594" spans="1:4" x14ac:dyDescent="0.25">
      <c r="A3594" t="str">
        <f>T("   842290")</f>
        <v xml:space="preserve">   842290</v>
      </c>
      <c r="B359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594">
        <v>256279</v>
      </c>
      <c r="D3594">
        <v>38</v>
      </c>
    </row>
    <row r="3595" spans="1:4" x14ac:dyDescent="0.25">
      <c r="A3595" t="str">
        <f>T("   842481")</f>
        <v xml:space="preserve">   842481</v>
      </c>
      <c r="B3595"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3595">
        <v>251489</v>
      </c>
      <c r="D3595">
        <v>50</v>
      </c>
    </row>
    <row r="3596" spans="1:4" x14ac:dyDescent="0.25">
      <c r="A3596" t="str">
        <f>T("   842489")</f>
        <v xml:space="preserve">   842489</v>
      </c>
      <c r="B3596"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3596">
        <v>719044</v>
      </c>
      <c r="D3596">
        <v>864</v>
      </c>
    </row>
    <row r="3597" spans="1:4" x14ac:dyDescent="0.25">
      <c r="A3597" t="str">
        <f>T("   842810")</f>
        <v xml:space="preserve">   842810</v>
      </c>
      <c r="B3597" t="str">
        <f>T("   Ascenseurs et monte-charge")</f>
        <v xml:space="preserve">   Ascenseurs et monte-charge</v>
      </c>
      <c r="C3597">
        <v>16286090</v>
      </c>
      <c r="D3597">
        <v>15600</v>
      </c>
    </row>
    <row r="3598" spans="1:4" x14ac:dyDescent="0.25">
      <c r="A3598" t="str">
        <f>T("   842920")</f>
        <v xml:space="preserve">   842920</v>
      </c>
      <c r="B3598" t="str">
        <f>T("   Niveleuses autopropulsées")</f>
        <v xml:space="preserve">   Niveleuses autopropulsées</v>
      </c>
      <c r="C3598">
        <v>5729633</v>
      </c>
      <c r="D3598">
        <v>6700</v>
      </c>
    </row>
    <row r="3599" spans="1:4" x14ac:dyDescent="0.25">
      <c r="A3599" t="str">
        <f>T("   842951")</f>
        <v xml:space="preserve">   842951</v>
      </c>
      <c r="B3599" t="str">
        <f>T("   Chargeuses et chargeuses-pelleteuses, à chargement frontal, autopropulsées")</f>
        <v xml:space="preserve">   Chargeuses et chargeuses-pelleteuses, à chargement frontal, autopropulsées</v>
      </c>
      <c r="C3599">
        <v>5900000</v>
      </c>
      <c r="D3599">
        <v>12700</v>
      </c>
    </row>
    <row r="3600" spans="1:4" x14ac:dyDescent="0.25">
      <c r="A3600" t="str">
        <f>T("   843049")</f>
        <v xml:space="preserve">   843049</v>
      </c>
      <c r="B3600"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3600">
        <v>653336</v>
      </c>
      <c r="D3600">
        <v>182</v>
      </c>
    </row>
    <row r="3601" spans="1:4" x14ac:dyDescent="0.25">
      <c r="A3601" t="str">
        <f>T("   843050")</f>
        <v xml:space="preserve">   843050</v>
      </c>
      <c r="B3601"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3601">
        <v>23047155</v>
      </c>
      <c r="D3601">
        <v>70000</v>
      </c>
    </row>
    <row r="3602" spans="1:4" x14ac:dyDescent="0.25">
      <c r="A3602" t="str">
        <f>T("   843061")</f>
        <v xml:space="preserve">   843061</v>
      </c>
      <c r="B3602" t="str">
        <f>T("   Machines et appareils à tasser ou à compacter, non autopropulsés (sauf outillage pour emploi à la main)")</f>
        <v xml:space="preserve">   Machines et appareils à tasser ou à compacter, non autopropulsés (sauf outillage pour emploi à la main)</v>
      </c>
      <c r="C3602">
        <v>359000</v>
      </c>
      <c r="D3602">
        <v>2000</v>
      </c>
    </row>
    <row r="3603" spans="1:4" x14ac:dyDescent="0.25">
      <c r="A3603" t="str">
        <f>T("   843139")</f>
        <v xml:space="preserve">   843139</v>
      </c>
      <c r="B3603" t="str">
        <f>T("   Parties de machines et appareils du n° 8428, n.d.a.")</f>
        <v xml:space="preserve">   Parties de machines et appareils du n° 8428, n.d.a.</v>
      </c>
      <c r="C3603">
        <v>2392204</v>
      </c>
      <c r="D3603">
        <v>2.9</v>
      </c>
    </row>
    <row r="3604" spans="1:4" x14ac:dyDescent="0.25">
      <c r="A3604" t="str">
        <f>T("   843141")</f>
        <v xml:space="preserve">   843141</v>
      </c>
      <c r="B3604" t="str">
        <f>T("   Godets, bennes, bennes-preneuses, pelles, grappins et pinces pour machines et appareils du n° 8426, 8429 ou 8430")</f>
        <v xml:space="preserve">   Godets, bennes, bennes-preneuses, pelles, grappins et pinces pour machines et appareils du n° 8426, 8429 ou 8430</v>
      </c>
      <c r="C3604">
        <v>11792718</v>
      </c>
      <c r="D3604">
        <v>2042</v>
      </c>
    </row>
    <row r="3605" spans="1:4" x14ac:dyDescent="0.25">
      <c r="A3605" t="str">
        <f>T("   843149")</f>
        <v xml:space="preserve">   843149</v>
      </c>
      <c r="B3605" t="str">
        <f>T("   Parties de machines et appareils du n° 8426, 8429 ou 8430, n.d.a.")</f>
        <v xml:space="preserve">   Parties de machines et appareils du n° 8426, 8429 ou 8430, n.d.a.</v>
      </c>
      <c r="C3605">
        <v>12349349</v>
      </c>
      <c r="D3605">
        <v>3309</v>
      </c>
    </row>
    <row r="3606" spans="1:4" x14ac:dyDescent="0.25">
      <c r="A3606" t="str">
        <f>T("   843280")</f>
        <v xml:space="preserve">   843280</v>
      </c>
      <c r="B3606" t="s">
        <v>434</v>
      </c>
      <c r="C3606">
        <v>26943557</v>
      </c>
      <c r="D3606">
        <v>7475</v>
      </c>
    </row>
    <row r="3607" spans="1:4" x14ac:dyDescent="0.25">
      <c r="A3607" t="str">
        <f>T("   844319")</f>
        <v xml:space="preserve">   844319</v>
      </c>
      <c r="B3607" t="s">
        <v>443</v>
      </c>
      <c r="C3607">
        <v>150215</v>
      </c>
      <c r="D3607">
        <v>50</v>
      </c>
    </row>
    <row r="3608" spans="1:4" x14ac:dyDescent="0.25">
      <c r="A3608" t="str">
        <f>T("   844339")</f>
        <v xml:space="preserve">   844339</v>
      </c>
      <c r="B3608" t="s">
        <v>444</v>
      </c>
      <c r="C3608">
        <v>8461884</v>
      </c>
      <c r="D3608">
        <v>10500</v>
      </c>
    </row>
    <row r="3609" spans="1:4" x14ac:dyDescent="0.25">
      <c r="A3609" t="str">
        <f>T("   846599")</f>
        <v xml:space="preserve">   846599</v>
      </c>
      <c r="B3609" t="s">
        <v>455</v>
      </c>
      <c r="C3609">
        <v>655960</v>
      </c>
      <c r="D3609">
        <v>700</v>
      </c>
    </row>
    <row r="3610" spans="1:4" x14ac:dyDescent="0.25">
      <c r="A3610" t="str">
        <f>T("   847130")</f>
        <v xml:space="preserve">   847130</v>
      </c>
      <c r="B361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610">
        <v>691000</v>
      </c>
      <c r="D3610">
        <v>1793</v>
      </c>
    </row>
    <row r="3611" spans="1:4" x14ac:dyDescent="0.25">
      <c r="A3611" t="str">
        <f>T("   847180")</f>
        <v xml:space="preserve">   847180</v>
      </c>
      <c r="B3611"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611">
        <v>1215356</v>
      </c>
      <c r="D3611">
        <v>175</v>
      </c>
    </row>
    <row r="3612" spans="1:4" x14ac:dyDescent="0.25">
      <c r="A3612" t="str">
        <f>T("   847190")</f>
        <v xml:space="preserve">   847190</v>
      </c>
      <c r="B361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612">
        <v>1932407</v>
      </c>
      <c r="D3612">
        <v>26.1</v>
      </c>
    </row>
    <row r="3613" spans="1:4" x14ac:dyDescent="0.25">
      <c r="A3613" t="str">
        <f>T("   847290")</f>
        <v xml:space="preserve">   847290</v>
      </c>
      <c r="B3613" t="str">
        <f>T("   Machines et appareils de bureau, n.d.a.")</f>
        <v xml:space="preserve">   Machines et appareils de bureau, n.d.a.</v>
      </c>
      <c r="C3613">
        <v>1574590</v>
      </c>
      <c r="D3613">
        <v>3000</v>
      </c>
    </row>
    <row r="3614" spans="1:4" x14ac:dyDescent="0.25">
      <c r="A3614" t="str">
        <f>T("   847490")</f>
        <v xml:space="preserve">   847490</v>
      </c>
      <c r="B3614" t="str">
        <f>T("   Parties des machines et appareils pour le travail des matières minérales du n° 8474, n.d.a.")</f>
        <v xml:space="preserve">   Parties des machines et appareils pour le travail des matières minérales du n° 8474, n.d.a.</v>
      </c>
      <c r="C3614">
        <v>35158381</v>
      </c>
      <c r="D3614">
        <v>16240</v>
      </c>
    </row>
    <row r="3615" spans="1:4" x14ac:dyDescent="0.25">
      <c r="A3615" t="str">
        <f>T("   847990")</f>
        <v xml:space="preserve">   847990</v>
      </c>
      <c r="B3615" t="str">
        <f>T("   Parties de machines et appareils, y.c. les appareils mécaniques, n.d.a.")</f>
        <v xml:space="preserve">   Parties de machines et appareils, y.c. les appareils mécaniques, n.d.a.</v>
      </c>
      <c r="C3615">
        <v>4301746</v>
      </c>
      <c r="D3615">
        <v>890</v>
      </c>
    </row>
    <row r="3616" spans="1:4" x14ac:dyDescent="0.25">
      <c r="A3616" t="str">
        <f>T("   848180")</f>
        <v xml:space="preserve">   848180</v>
      </c>
      <c r="B36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616">
        <v>6071015</v>
      </c>
      <c r="D3616">
        <v>1252</v>
      </c>
    </row>
    <row r="3617" spans="1:4" x14ac:dyDescent="0.25">
      <c r="A3617" t="str">
        <f>T("   848360")</f>
        <v xml:space="preserve">   848360</v>
      </c>
      <c r="B3617" t="str">
        <f>T("   Embrayages et organes d'accouplement, y.c. les joints d'articulation, pour machines")</f>
        <v xml:space="preserve">   Embrayages et organes d'accouplement, y.c. les joints d'articulation, pour machines</v>
      </c>
      <c r="C3617">
        <v>24150696</v>
      </c>
      <c r="D3617">
        <v>2724</v>
      </c>
    </row>
    <row r="3618" spans="1:4" x14ac:dyDescent="0.25">
      <c r="A3618" t="str">
        <f>T("   850133")</f>
        <v xml:space="preserve">   850133</v>
      </c>
      <c r="B3618" t="str">
        <f>T("   Moteurs et génératrices à courant continu, puissance &gt; 75 kW mais &lt;= 375 kW")</f>
        <v xml:space="preserve">   Moteurs et génératrices à courant continu, puissance &gt; 75 kW mais &lt;= 375 kW</v>
      </c>
      <c r="C3618">
        <v>406131</v>
      </c>
      <c r="D3618">
        <v>707</v>
      </c>
    </row>
    <row r="3619" spans="1:4" x14ac:dyDescent="0.25">
      <c r="A3619" t="str">
        <f>T("   850220")</f>
        <v xml:space="preserve">   850220</v>
      </c>
      <c r="B3619" t="s">
        <v>472</v>
      </c>
      <c r="C3619">
        <v>3774394</v>
      </c>
      <c r="D3619">
        <v>1380</v>
      </c>
    </row>
    <row r="3620" spans="1:4" x14ac:dyDescent="0.25">
      <c r="A3620" t="str">
        <f>T("   850239")</f>
        <v xml:space="preserve">   850239</v>
      </c>
      <c r="B3620" t="str">
        <f>T("   Groupes électrogènes (autres qu'à énergie éolienne et à moteurs à piston)")</f>
        <v xml:space="preserve">   Groupes électrogènes (autres qu'à énergie éolienne et à moteurs à piston)</v>
      </c>
      <c r="C3620">
        <v>676997</v>
      </c>
      <c r="D3620">
        <v>738</v>
      </c>
    </row>
    <row r="3621" spans="1:4" x14ac:dyDescent="0.25">
      <c r="A3621" t="str">
        <f>T("   850432")</f>
        <v xml:space="preserve">   850432</v>
      </c>
      <c r="B3621" t="str">
        <f>T("   Transformateurs à sec, puissance &gt; 1 kVA mais &lt;= 16 kVA")</f>
        <v xml:space="preserve">   Transformateurs à sec, puissance &gt; 1 kVA mais &lt;= 16 kVA</v>
      </c>
      <c r="C3621">
        <v>595612</v>
      </c>
      <c r="D3621">
        <v>1065</v>
      </c>
    </row>
    <row r="3622" spans="1:4" x14ac:dyDescent="0.25">
      <c r="A3622" t="str">
        <f>T("   850434")</f>
        <v xml:space="preserve">   850434</v>
      </c>
      <c r="B3622" t="str">
        <f>T("   Transformateurs à sec, puissance &gt; 500 kVA")</f>
        <v xml:space="preserve">   Transformateurs à sec, puissance &gt; 500 kVA</v>
      </c>
      <c r="C3622">
        <v>292532</v>
      </c>
      <c r="D3622">
        <v>278</v>
      </c>
    </row>
    <row r="3623" spans="1:4" x14ac:dyDescent="0.25">
      <c r="A3623" t="str">
        <f>T("   850440")</f>
        <v xml:space="preserve">   850440</v>
      </c>
      <c r="B3623" t="str">
        <f>T("   CONVERTISSEURS STATIQUES")</f>
        <v xml:space="preserve">   CONVERTISSEURS STATIQUES</v>
      </c>
      <c r="C3623">
        <v>692705</v>
      </c>
      <c r="D3623">
        <v>55</v>
      </c>
    </row>
    <row r="3624" spans="1:4" x14ac:dyDescent="0.25">
      <c r="A3624" t="str">
        <f>T("   850860")</f>
        <v xml:space="preserve">   850860</v>
      </c>
      <c r="B3624" t="str">
        <f>T("   ASPIRATEURS, Y.C. LES ASPIRATEURS DE MATIÈRES SÈCHES ET DE MATIÈRES LIQUIDES (À L'EXCL. DES ASPIRATEURS À MOTEUR ÉLECTRIQUE INCORPORÉ)")</f>
        <v xml:space="preserve">   ASPIRATEURS, Y.C. LES ASPIRATEURS DE MATIÈRES SÈCHES ET DE MATIÈRES LIQUIDES (À L'EXCL. DES ASPIRATEURS À MOTEUR ÉLECTRIQUE INCORPORÉ)</v>
      </c>
      <c r="C3624">
        <v>505022</v>
      </c>
      <c r="D3624">
        <v>478</v>
      </c>
    </row>
    <row r="3625" spans="1:4" x14ac:dyDescent="0.25">
      <c r="A3625" t="str">
        <f>T("   850980")</f>
        <v xml:space="preserve">   850980</v>
      </c>
      <c r="B3625" t="s">
        <v>473</v>
      </c>
      <c r="C3625">
        <v>334540</v>
      </c>
      <c r="D3625">
        <v>989</v>
      </c>
    </row>
    <row r="3626" spans="1:4" x14ac:dyDescent="0.25">
      <c r="A3626" t="str">
        <f>T("   851590")</f>
        <v xml:space="preserve">   851590</v>
      </c>
      <c r="B3626"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3626">
        <v>1314564</v>
      </c>
      <c r="D3626">
        <v>105</v>
      </c>
    </row>
    <row r="3627" spans="1:4" x14ac:dyDescent="0.25">
      <c r="A3627" t="str">
        <f>T("   851640")</f>
        <v xml:space="preserve">   851640</v>
      </c>
      <c r="B3627" t="str">
        <f>T("   Fers à repasser électriques")</f>
        <v xml:space="preserve">   Fers à repasser électriques</v>
      </c>
      <c r="C3627">
        <v>5024654</v>
      </c>
      <c r="D3627">
        <v>3974</v>
      </c>
    </row>
    <row r="3628" spans="1:4" x14ac:dyDescent="0.25">
      <c r="A3628" t="str">
        <f>T("   851660")</f>
        <v xml:space="preserve">   851660</v>
      </c>
      <c r="B3628"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628">
        <v>2353434</v>
      </c>
      <c r="D3628">
        <v>12500</v>
      </c>
    </row>
    <row r="3629" spans="1:4" x14ac:dyDescent="0.25">
      <c r="A3629" t="str">
        <f>T("   851679")</f>
        <v xml:space="preserve">   851679</v>
      </c>
      <c r="B3629" t="s">
        <v>478</v>
      </c>
      <c r="C3629">
        <v>1530034</v>
      </c>
      <c r="D3629">
        <v>12500</v>
      </c>
    </row>
    <row r="3630" spans="1:4" x14ac:dyDescent="0.25">
      <c r="A3630" t="str">
        <f>T("   851770")</f>
        <v xml:space="preserve">   851770</v>
      </c>
      <c r="B3630"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3630">
        <v>978286</v>
      </c>
      <c r="D3630">
        <v>6.1</v>
      </c>
    </row>
    <row r="3631" spans="1:4" x14ac:dyDescent="0.25">
      <c r="A3631" t="str">
        <f>T("   852859")</f>
        <v xml:space="preserve">   852859</v>
      </c>
      <c r="B3631"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3631">
        <v>393576</v>
      </c>
      <c r="D3631">
        <v>750</v>
      </c>
    </row>
    <row r="3632" spans="1:4" x14ac:dyDescent="0.25">
      <c r="A3632" t="str">
        <f>T("   852873")</f>
        <v xml:space="preserve">   852873</v>
      </c>
      <c r="B3632" t="s">
        <v>495</v>
      </c>
      <c r="C3632">
        <v>591000</v>
      </c>
      <c r="D3632">
        <v>805</v>
      </c>
    </row>
    <row r="3633" spans="1:4" x14ac:dyDescent="0.25">
      <c r="A3633" t="str">
        <f>T("   853590")</f>
        <v xml:space="preserve">   853590</v>
      </c>
      <c r="B3633" t="s">
        <v>498</v>
      </c>
      <c r="C3633">
        <v>1663552</v>
      </c>
      <c r="D3633">
        <v>1576</v>
      </c>
    </row>
    <row r="3634" spans="1:4" x14ac:dyDescent="0.25">
      <c r="A3634" t="str">
        <f>T("   853649")</f>
        <v xml:space="preserve">   853649</v>
      </c>
      <c r="B3634" t="str">
        <f>T("   Relais, pour une tension &gt; 60 V mais &lt;= 1.000 V")</f>
        <v xml:space="preserve">   Relais, pour une tension &gt; 60 V mais &lt;= 1.000 V</v>
      </c>
      <c r="C3634">
        <v>334362</v>
      </c>
      <c r="D3634">
        <v>1.65</v>
      </c>
    </row>
    <row r="3635" spans="1:4" x14ac:dyDescent="0.25">
      <c r="A3635" t="str">
        <f>T("   853669")</f>
        <v xml:space="preserve">   853669</v>
      </c>
      <c r="B3635" t="str">
        <f>T("   Fiches et prises de courant, pour une tension &lt;= 1.000 V (sauf douilles pour lampes)")</f>
        <v xml:space="preserve">   Fiches et prises de courant, pour une tension &lt;= 1.000 V (sauf douilles pour lampes)</v>
      </c>
      <c r="C3635">
        <v>2211176</v>
      </c>
      <c r="D3635">
        <v>55.02</v>
      </c>
    </row>
    <row r="3636" spans="1:4" x14ac:dyDescent="0.25">
      <c r="A3636" t="str">
        <f>T("   853690")</f>
        <v xml:space="preserve">   853690</v>
      </c>
      <c r="B3636" t="s">
        <v>499</v>
      </c>
      <c r="C3636">
        <v>2199282</v>
      </c>
      <c r="D3636">
        <v>252.5</v>
      </c>
    </row>
    <row r="3637" spans="1:4" x14ac:dyDescent="0.25">
      <c r="A3637" t="str">
        <f>T("   853710")</f>
        <v xml:space="preserve">   853710</v>
      </c>
      <c r="B363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637">
        <v>983940</v>
      </c>
      <c r="D3637">
        <v>108</v>
      </c>
    </row>
    <row r="3638" spans="1:4" x14ac:dyDescent="0.25">
      <c r="A3638" t="str">
        <f>T("   853810")</f>
        <v xml:space="preserve">   853810</v>
      </c>
      <c r="B3638" t="str">
        <f>T("   Tableaux, panneaux, consoles, pupitres, armoires et autres supports pour articles du n° 8537, dépourvus de leurs appareils")</f>
        <v xml:space="preserve">   Tableaux, panneaux, consoles, pupitres, armoires et autres supports pour articles du n° 8537, dépourvus de leurs appareils</v>
      </c>
      <c r="C3638">
        <v>755010</v>
      </c>
      <c r="D3638">
        <v>1352</v>
      </c>
    </row>
    <row r="3639" spans="1:4" x14ac:dyDescent="0.25">
      <c r="A3639" t="str">
        <f>T("   853922")</f>
        <v xml:space="preserve">   853922</v>
      </c>
      <c r="B3639"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3639">
        <v>145470</v>
      </c>
      <c r="D3639">
        <v>32</v>
      </c>
    </row>
    <row r="3640" spans="1:4" x14ac:dyDescent="0.25">
      <c r="A3640" t="str">
        <f>T("   853939")</f>
        <v xml:space="preserve">   853939</v>
      </c>
      <c r="B364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3640">
        <v>2185003</v>
      </c>
      <c r="D3640">
        <v>1075</v>
      </c>
    </row>
    <row r="3641" spans="1:4" x14ac:dyDescent="0.25">
      <c r="A3641" t="str">
        <f>T("   870120")</f>
        <v xml:space="preserve">   870120</v>
      </c>
      <c r="B3641" t="str">
        <f>T("   Tracteurs routiers pour semi-remorques")</f>
        <v xml:space="preserve">   Tracteurs routiers pour semi-remorques</v>
      </c>
      <c r="C3641">
        <v>15241417</v>
      </c>
      <c r="D3641">
        <v>56094</v>
      </c>
    </row>
    <row r="3642" spans="1:4" x14ac:dyDescent="0.25">
      <c r="A3642" t="str">
        <f>T("   870210")</f>
        <v xml:space="preserve">   870210</v>
      </c>
      <c r="B3642" t="s">
        <v>503</v>
      </c>
      <c r="C3642">
        <v>1212462</v>
      </c>
      <c r="D3642">
        <v>1700</v>
      </c>
    </row>
    <row r="3643" spans="1:4" x14ac:dyDescent="0.25">
      <c r="A3643" t="str">
        <f>T("   870323")</f>
        <v xml:space="preserve">   870323</v>
      </c>
      <c r="B3643" t="s">
        <v>507</v>
      </c>
      <c r="C3643">
        <v>51085225</v>
      </c>
      <c r="D3643">
        <v>12150</v>
      </c>
    </row>
    <row r="3644" spans="1:4" x14ac:dyDescent="0.25">
      <c r="A3644" t="str">
        <f>T("   870332")</f>
        <v xml:space="preserve">   870332</v>
      </c>
      <c r="B3644" t="s">
        <v>510</v>
      </c>
      <c r="C3644">
        <v>78889269</v>
      </c>
      <c r="D3644">
        <v>11341</v>
      </c>
    </row>
    <row r="3645" spans="1:4" x14ac:dyDescent="0.25">
      <c r="A3645" t="str">
        <f>T("   870333")</f>
        <v xml:space="preserve">   870333</v>
      </c>
      <c r="B3645" t="s">
        <v>511</v>
      </c>
      <c r="C3645">
        <v>32093460</v>
      </c>
      <c r="D3645">
        <v>5310</v>
      </c>
    </row>
    <row r="3646" spans="1:4" x14ac:dyDescent="0.25">
      <c r="A3646" t="str">
        <f>T("   870410")</f>
        <v xml:space="preserve">   870410</v>
      </c>
      <c r="B3646" t="str">
        <f>T("   Tombereaux automoteurs utilisés en dehors du réseau routier")</f>
        <v xml:space="preserve">   Tombereaux automoteurs utilisés en dehors du réseau routier</v>
      </c>
      <c r="C3646">
        <v>236000</v>
      </c>
      <c r="D3646">
        <v>2500</v>
      </c>
    </row>
    <row r="3647" spans="1:4" x14ac:dyDescent="0.25">
      <c r="A3647" t="str">
        <f>T("   870421")</f>
        <v xml:space="preserve">   870421</v>
      </c>
      <c r="B3647" t="s">
        <v>512</v>
      </c>
      <c r="C3647">
        <v>1200000</v>
      </c>
      <c r="D3647">
        <v>950</v>
      </c>
    </row>
    <row r="3648" spans="1:4" x14ac:dyDescent="0.25">
      <c r="A3648" t="str">
        <f>T("   870431")</f>
        <v xml:space="preserve">   870431</v>
      </c>
      <c r="B3648" t="s">
        <v>515</v>
      </c>
      <c r="C3648">
        <v>1200000</v>
      </c>
      <c r="D3648">
        <v>1770</v>
      </c>
    </row>
    <row r="3649" spans="1:4" x14ac:dyDescent="0.25">
      <c r="A3649" t="str">
        <f>T("   870899")</f>
        <v xml:space="preserve">   870899</v>
      </c>
      <c r="B364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649">
        <v>1652363</v>
      </c>
      <c r="D3649">
        <v>1983</v>
      </c>
    </row>
    <row r="3650" spans="1:4" x14ac:dyDescent="0.25">
      <c r="A3650" t="str">
        <f>T("   871639")</f>
        <v xml:space="preserve">   871639</v>
      </c>
      <c r="B3650"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3650">
        <v>1555957</v>
      </c>
      <c r="D3650">
        <v>2750</v>
      </c>
    </row>
    <row r="3651" spans="1:4" x14ac:dyDescent="0.25">
      <c r="A3651" t="str">
        <f>T("   871640")</f>
        <v xml:space="preserve">   871640</v>
      </c>
      <c r="B3651"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651">
        <v>12000000</v>
      </c>
      <c r="D3651">
        <v>38325</v>
      </c>
    </row>
    <row r="3652" spans="1:4" x14ac:dyDescent="0.25">
      <c r="A3652" t="str">
        <f>T("   900490")</f>
        <v xml:space="preserve">   900490</v>
      </c>
      <c r="B3652"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3652">
        <v>102069</v>
      </c>
      <c r="D3652">
        <v>70</v>
      </c>
    </row>
    <row r="3653" spans="1:4" x14ac:dyDescent="0.25">
      <c r="A3653" t="str">
        <f>T("   900830")</f>
        <v xml:space="preserve">   900830</v>
      </c>
      <c r="B3653"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3653">
        <v>2992358</v>
      </c>
      <c r="D3653">
        <v>2834</v>
      </c>
    </row>
    <row r="3654" spans="1:4" x14ac:dyDescent="0.25">
      <c r="A3654" t="str">
        <f>T("   901780")</f>
        <v xml:space="preserve">   901780</v>
      </c>
      <c r="B3654" t="str">
        <f>T("   Instruments de mesure de longueurs, pour emploi à la main, n.d.a.")</f>
        <v xml:space="preserve">   Instruments de mesure de longueurs, pour emploi à la main, n.d.a.</v>
      </c>
      <c r="C3654">
        <v>188917</v>
      </c>
      <c r="D3654">
        <v>55</v>
      </c>
    </row>
    <row r="3655" spans="1:4" x14ac:dyDescent="0.25">
      <c r="A3655" t="str">
        <f>T("   901831")</f>
        <v xml:space="preserve">   901831</v>
      </c>
      <c r="B3655" t="str">
        <f>T("   Seringues, avec ou sans aiguilles, pour la médecine")</f>
        <v xml:space="preserve">   Seringues, avec ou sans aiguilles, pour la médecine</v>
      </c>
      <c r="C3655">
        <v>4329336</v>
      </c>
      <c r="D3655">
        <v>4117</v>
      </c>
    </row>
    <row r="3656" spans="1:4" x14ac:dyDescent="0.25">
      <c r="A3656" t="str">
        <f>T("   901849")</f>
        <v xml:space="preserve">   901849</v>
      </c>
      <c r="B3656" t="str">
        <f>T("   Instruments et appareils pour l'art dentaire, n.d.a.")</f>
        <v xml:space="preserve">   Instruments et appareils pour l'art dentaire, n.d.a.</v>
      </c>
      <c r="C3656">
        <v>4453929</v>
      </c>
      <c r="D3656">
        <v>1012</v>
      </c>
    </row>
    <row r="3657" spans="1:4" x14ac:dyDescent="0.25">
      <c r="A3657" t="str">
        <f>T("   901890")</f>
        <v xml:space="preserve">   901890</v>
      </c>
      <c r="B3657" t="str">
        <f>T("   Instruments et appareils pour la médecine, la chirurgie ou l'art vétérinaire, n.d.a.")</f>
        <v xml:space="preserve">   Instruments et appareils pour la médecine, la chirurgie ou l'art vétérinaire, n.d.a.</v>
      </c>
      <c r="C3657">
        <v>2116874</v>
      </c>
      <c r="D3657">
        <v>223</v>
      </c>
    </row>
    <row r="3658" spans="1:4" x14ac:dyDescent="0.25">
      <c r="A3658" t="str">
        <f>T("   910119")</f>
        <v xml:space="preserve">   910119</v>
      </c>
      <c r="B3658"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3658">
        <v>1879128</v>
      </c>
      <c r="D3658">
        <v>18</v>
      </c>
    </row>
    <row r="3659" spans="1:4" x14ac:dyDescent="0.25">
      <c r="A3659" t="str">
        <f>T("   940130")</f>
        <v xml:space="preserve">   940130</v>
      </c>
      <c r="B3659"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3659">
        <v>1017755</v>
      </c>
      <c r="D3659">
        <v>144</v>
      </c>
    </row>
    <row r="3660" spans="1:4" x14ac:dyDescent="0.25">
      <c r="A3660" t="str">
        <f>T("   940290")</f>
        <v xml:space="preserve">   940290</v>
      </c>
      <c r="B3660"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660">
        <v>304595</v>
      </c>
      <c r="D3660">
        <v>221</v>
      </c>
    </row>
    <row r="3661" spans="1:4" x14ac:dyDescent="0.25">
      <c r="A3661" t="str">
        <f>T("   940310")</f>
        <v xml:space="preserve">   940310</v>
      </c>
      <c r="B3661" t="str">
        <f>T("   Meubles de bureau en métal (sauf sièges)")</f>
        <v xml:space="preserve">   Meubles de bureau en métal (sauf sièges)</v>
      </c>
      <c r="C3661">
        <v>9683629</v>
      </c>
      <c r="D3661">
        <v>19400</v>
      </c>
    </row>
    <row r="3662" spans="1:4" x14ac:dyDescent="0.25">
      <c r="A3662" t="str">
        <f>T("   940330")</f>
        <v xml:space="preserve">   940330</v>
      </c>
      <c r="B3662" t="str">
        <f>T("   Meubles de bureau en bois (sauf sièges)")</f>
        <v xml:space="preserve">   Meubles de bureau en bois (sauf sièges)</v>
      </c>
      <c r="C3662">
        <v>2543157</v>
      </c>
      <c r="D3662">
        <v>13103</v>
      </c>
    </row>
    <row r="3663" spans="1:4" x14ac:dyDescent="0.25">
      <c r="A3663" t="str">
        <f>T("   940340")</f>
        <v xml:space="preserve">   940340</v>
      </c>
      <c r="B3663" t="str">
        <f>T("   Meubles de cuisine, en bois (sauf sièges)")</f>
        <v xml:space="preserve">   Meubles de cuisine, en bois (sauf sièges)</v>
      </c>
      <c r="C3663">
        <v>4578660</v>
      </c>
      <c r="D3663">
        <v>3500</v>
      </c>
    </row>
    <row r="3664" spans="1:4" x14ac:dyDescent="0.25">
      <c r="A3664" t="str">
        <f>T("   940360")</f>
        <v xml:space="preserve">   940360</v>
      </c>
      <c r="B3664" t="str">
        <f>T("   Meubles en bois (autres que pour bureaux, cuisines ou chambres à coucher et autres que sièges)")</f>
        <v xml:space="preserve">   Meubles en bois (autres que pour bureaux, cuisines ou chambres à coucher et autres que sièges)</v>
      </c>
      <c r="C3664">
        <v>1517701</v>
      </c>
      <c r="D3664">
        <v>2734</v>
      </c>
    </row>
    <row r="3665" spans="1:4" x14ac:dyDescent="0.25">
      <c r="A3665" t="str">
        <f>T("   940389")</f>
        <v xml:space="preserve">   940389</v>
      </c>
      <c r="B3665"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3665">
        <v>647365</v>
      </c>
      <c r="D3665">
        <v>2404</v>
      </c>
    </row>
    <row r="3666" spans="1:4" x14ac:dyDescent="0.25">
      <c r="A3666" t="str">
        <f>T("   940429")</f>
        <v xml:space="preserve">   940429</v>
      </c>
      <c r="B3666"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666">
        <v>459172</v>
      </c>
      <c r="D3666">
        <v>2379</v>
      </c>
    </row>
    <row r="3667" spans="1:4" x14ac:dyDescent="0.25">
      <c r="A3667" t="str">
        <f>T("   940510")</f>
        <v xml:space="preserve">   940510</v>
      </c>
      <c r="B3667"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3667">
        <v>301742</v>
      </c>
      <c r="D3667">
        <v>1957</v>
      </c>
    </row>
    <row r="3668" spans="1:4" x14ac:dyDescent="0.25">
      <c r="A3668" t="str">
        <f>T("   940520")</f>
        <v xml:space="preserve">   940520</v>
      </c>
      <c r="B3668" t="str">
        <f>T("   Lampes de chevet, lampes de bureau et lampadaires d'intérieur, électriques")</f>
        <v xml:space="preserve">   Lampes de chevet, lampes de bureau et lampadaires d'intérieur, électriques</v>
      </c>
      <c r="C3668">
        <v>759189</v>
      </c>
      <c r="D3668">
        <v>1097</v>
      </c>
    </row>
    <row r="3669" spans="1:4" x14ac:dyDescent="0.25">
      <c r="A3669" t="str">
        <f>T("   940540")</f>
        <v xml:space="preserve">   940540</v>
      </c>
      <c r="B3669" t="str">
        <f>T("   Appareils d'éclairage électrique, n.d.a.")</f>
        <v xml:space="preserve">   Appareils d'éclairage électrique, n.d.a.</v>
      </c>
      <c r="C3669">
        <v>253201</v>
      </c>
      <c r="D3669">
        <v>452</v>
      </c>
    </row>
    <row r="3670" spans="1:4" x14ac:dyDescent="0.25">
      <c r="A3670" t="str">
        <f>T("   940600")</f>
        <v xml:space="preserve">   940600</v>
      </c>
      <c r="B3670" t="str">
        <f>T("   Constructions préfabriquées, même incomplètes ou non encore montées")</f>
        <v xml:space="preserve">   Constructions préfabriquées, même incomplètes ou non encore montées</v>
      </c>
      <c r="C3670">
        <v>426374</v>
      </c>
      <c r="D3670">
        <v>388</v>
      </c>
    </row>
    <row r="3671" spans="1:4" x14ac:dyDescent="0.25">
      <c r="A3671" t="str">
        <f>T("   950590")</f>
        <v xml:space="preserve">   950590</v>
      </c>
      <c r="B3671" t="str">
        <f>T("   Articles pour fêtes, carnaval ou autres divertissements, y.c. les articles de magie et articles-surprises, n.d.a.")</f>
        <v xml:space="preserve">   Articles pour fêtes, carnaval ou autres divertissements, y.c. les articles de magie et articles-surprises, n.d.a.</v>
      </c>
      <c r="C3671">
        <v>79423650</v>
      </c>
      <c r="D3671">
        <v>14701</v>
      </c>
    </row>
    <row r="3672" spans="1:4" x14ac:dyDescent="0.25">
      <c r="A3672" t="str">
        <f>T("   950629")</f>
        <v xml:space="preserve">   950629</v>
      </c>
      <c r="B3672"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3672">
        <v>510848</v>
      </c>
      <c r="D3672">
        <v>484</v>
      </c>
    </row>
    <row r="3673" spans="1:4" x14ac:dyDescent="0.25">
      <c r="A3673" t="str">
        <f>T("   950699")</f>
        <v xml:space="preserve">   950699</v>
      </c>
      <c r="B3673" t="str">
        <f>T("   Articles et matériel pour le sport et les jeux de plein air, n.d.a.; piscines et pataugeoires")</f>
        <v xml:space="preserve">   Articles et matériel pour le sport et les jeux de plein air, n.d.a.; piscines et pataugeoires</v>
      </c>
      <c r="C3673">
        <v>816671</v>
      </c>
      <c r="D3673">
        <v>1496</v>
      </c>
    </row>
    <row r="3674" spans="1:4" x14ac:dyDescent="0.25">
      <c r="A3674" t="str">
        <f>T("   960310")</f>
        <v xml:space="preserve">   960310</v>
      </c>
      <c r="B3674" t="str">
        <f>T("   Balais et balayettes consistant en matières végétales en bottes liées")</f>
        <v xml:space="preserve">   Balais et balayettes consistant en matières végétales en bottes liées</v>
      </c>
      <c r="C3674">
        <v>57882</v>
      </c>
      <c r="D3674">
        <v>40</v>
      </c>
    </row>
    <row r="3675" spans="1:4" x14ac:dyDescent="0.25">
      <c r="A3675" t="str">
        <f>T("   960321")</f>
        <v xml:space="preserve">   960321</v>
      </c>
      <c r="B3675" t="str">
        <f>T("   Brosses à dent, y.c. brosses à prothèses dentaires")</f>
        <v xml:space="preserve">   Brosses à dent, y.c. brosses à prothèses dentaires</v>
      </c>
      <c r="C3675">
        <v>4350327</v>
      </c>
      <c r="D3675">
        <v>4745</v>
      </c>
    </row>
    <row r="3676" spans="1:4" x14ac:dyDescent="0.25">
      <c r="A3676" t="str">
        <f>T("   960810")</f>
        <v xml:space="preserve">   960810</v>
      </c>
      <c r="B3676" t="str">
        <f>T("   Stylos et crayons à bille")</f>
        <v xml:space="preserve">   Stylos et crayons à bille</v>
      </c>
      <c r="C3676">
        <v>89867</v>
      </c>
      <c r="D3676">
        <v>36</v>
      </c>
    </row>
    <row r="3677" spans="1:4" x14ac:dyDescent="0.25">
      <c r="A3677" t="str">
        <f>T("   970300")</f>
        <v xml:space="preserve">   970300</v>
      </c>
      <c r="B3677" t="str">
        <f>T("   Productions originales de l'art statuaire ou de la sculpture, en toutes matières")</f>
        <v xml:space="preserve">   Productions originales de l'art statuaire ou de la sculpture, en toutes matières</v>
      </c>
      <c r="C3677">
        <v>304595</v>
      </c>
      <c r="D3677">
        <v>1306</v>
      </c>
    </row>
    <row r="3678" spans="1:4" x14ac:dyDescent="0.25">
      <c r="A3678" t="str">
        <f>T("ET")</f>
        <v>ET</v>
      </c>
      <c r="B3678" t="str">
        <f>T("Ethiopie")</f>
        <v>Ethiopie</v>
      </c>
    </row>
    <row r="3679" spans="1:4" x14ac:dyDescent="0.25">
      <c r="A3679" t="str">
        <f>T("   ZZ_Total_Produit_SH6")</f>
        <v xml:space="preserve">   ZZ_Total_Produit_SH6</v>
      </c>
      <c r="B3679" t="str">
        <f>T("   ZZ_Total_Produit_SH6")</f>
        <v xml:space="preserve">   ZZ_Total_Produit_SH6</v>
      </c>
      <c r="C3679">
        <v>14322992</v>
      </c>
      <c r="D3679">
        <v>7556</v>
      </c>
    </row>
    <row r="3680" spans="1:4" x14ac:dyDescent="0.25">
      <c r="A3680" t="str">
        <f>T("   382200")</f>
        <v xml:space="preserve">   382200</v>
      </c>
      <c r="B3680" t="s">
        <v>133</v>
      </c>
      <c r="C3680">
        <v>90000</v>
      </c>
      <c r="D3680">
        <v>1</v>
      </c>
    </row>
    <row r="3681" spans="1:4" x14ac:dyDescent="0.25">
      <c r="A3681" t="str">
        <f>T("   420219")</f>
        <v xml:space="preserve">   420219</v>
      </c>
      <c r="B3681" t="s">
        <v>171</v>
      </c>
      <c r="C3681">
        <v>160000</v>
      </c>
      <c r="D3681">
        <v>130</v>
      </c>
    </row>
    <row r="3682" spans="1:4" x14ac:dyDescent="0.25">
      <c r="A3682" t="str">
        <f>T("   420221")</f>
        <v xml:space="preserve">   420221</v>
      </c>
      <c r="B3682"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3682">
        <v>160000</v>
      </c>
      <c r="D3682">
        <v>80</v>
      </c>
    </row>
    <row r="3683" spans="1:4" x14ac:dyDescent="0.25">
      <c r="A3683" t="str">
        <f>T("   540730")</f>
        <v xml:space="preserve">   540730</v>
      </c>
      <c r="B3683" t="s">
        <v>244</v>
      </c>
      <c r="C3683">
        <v>280000</v>
      </c>
      <c r="D3683">
        <v>258</v>
      </c>
    </row>
    <row r="3684" spans="1:4" x14ac:dyDescent="0.25">
      <c r="A3684" t="str">
        <f>T("   551349")</f>
        <v xml:space="preserve">   551349</v>
      </c>
      <c r="B3684"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3684">
        <v>595000</v>
      </c>
      <c r="D3684">
        <v>140</v>
      </c>
    </row>
    <row r="3685" spans="1:4" x14ac:dyDescent="0.25">
      <c r="A3685" t="str">
        <f>T("   600690")</f>
        <v xml:space="preserve">   600690</v>
      </c>
      <c r="B3685" t="s">
        <v>277</v>
      </c>
      <c r="C3685">
        <v>180000</v>
      </c>
      <c r="D3685">
        <v>125</v>
      </c>
    </row>
    <row r="3686" spans="1:4" x14ac:dyDescent="0.25">
      <c r="A3686" t="str">
        <f>T("   611120")</f>
        <v xml:space="preserve">   611120</v>
      </c>
      <c r="B3686" t="str">
        <f>T("   Vêtements et accessoires du vêtement, en bonneterie, de coton, pour bébés (sauf gants et bonnets)")</f>
        <v xml:space="preserve">   Vêtements et accessoires du vêtement, en bonneterie, de coton, pour bébés (sauf gants et bonnets)</v>
      </c>
      <c r="C3686">
        <v>460000</v>
      </c>
      <c r="D3686">
        <v>225</v>
      </c>
    </row>
    <row r="3687" spans="1:4" x14ac:dyDescent="0.25">
      <c r="A3687" t="str">
        <f>T("   611420")</f>
        <v xml:space="preserve">   611420</v>
      </c>
      <c r="B3687" t="str">
        <f>T("   Vêtements spéciaux destinés à des fins professionnelles, sportives ou autres n.d.a., en bonneterie, de coton")</f>
        <v xml:space="preserve">   Vêtements spéciaux destinés à des fins professionnelles, sportives ou autres n.d.a., en bonneterie, de coton</v>
      </c>
      <c r="C3687">
        <v>200000</v>
      </c>
      <c r="D3687">
        <v>60</v>
      </c>
    </row>
    <row r="3688" spans="1:4" x14ac:dyDescent="0.25">
      <c r="A3688" t="str">
        <f>T("   620590")</f>
        <v xml:space="preserve">   620590</v>
      </c>
      <c r="B368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688">
        <v>300000</v>
      </c>
      <c r="D3688">
        <v>510</v>
      </c>
    </row>
    <row r="3689" spans="1:4" x14ac:dyDescent="0.25">
      <c r="A3689" t="str">
        <f>T("   620920")</f>
        <v xml:space="preserve">   620920</v>
      </c>
      <c r="B3689" t="str">
        <f>T("   Vêtements et accessoires du vêtement, de coton, pour bébés (autres qu'en bonneterie et sauf bonnets)")</f>
        <v xml:space="preserve">   Vêtements et accessoires du vêtement, de coton, pour bébés (autres qu'en bonneterie et sauf bonnets)</v>
      </c>
      <c r="C3689">
        <v>70000</v>
      </c>
      <c r="D3689">
        <v>45</v>
      </c>
    </row>
    <row r="3690" spans="1:4" x14ac:dyDescent="0.25">
      <c r="A3690" t="str">
        <f>T("   621490")</f>
        <v xml:space="preserve">   621490</v>
      </c>
      <c r="B3690"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3690">
        <v>160000</v>
      </c>
      <c r="D3690">
        <v>30</v>
      </c>
    </row>
    <row r="3691" spans="1:4" x14ac:dyDescent="0.25">
      <c r="A3691" t="str">
        <f>T("   630900")</f>
        <v xml:space="preserve">   630900</v>
      </c>
      <c r="B3691" t="s">
        <v>300</v>
      </c>
      <c r="C3691">
        <v>70000</v>
      </c>
      <c r="D3691">
        <v>30</v>
      </c>
    </row>
    <row r="3692" spans="1:4" x14ac:dyDescent="0.25">
      <c r="A3692" t="str">
        <f>T("   640199")</f>
        <v xml:space="preserve">   640199</v>
      </c>
      <c r="B3692" t="s">
        <v>301</v>
      </c>
      <c r="C3692">
        <v>390000</v>
      </c>
      <c r="D3692">
        <v>130</v>
      </c>
    </row>
    <row r="3693" spans="1:4" x14ac:dyDescent="0.25">
      <c r="A3693" t="str">
        <f>T("   640219")</f>
        <v xml:space="preserve">   640219</v>
      </c>
      <c r="B3693" t="s">
        <v>303</v>
      </c>
      <c r="C3693">
        <v>92000</v>
      </c>
      <c r="D3693">
        <v>60</v>
      </c>
    </row>
    <row r="3694" spans="1:4" x14ac:dyDescent="0.25">
      <c r="A3694" t="str">
        <f>T("   640299")</f>
        <v xml:space="preserve">   640299</v>
      </c>
      <c r="B3694" t="s">
        <v>305</v>
      </c>
      <c r="C3694">
        <v>320000</v>
      </c>
      <c r="D3694">
        <v>120</v>
      </c>
    </row>
    <row r="3695" spans="1:4" x14ac:dyDescent="0.25">
      <c r="A3695" t="str">
        <f>T("   640320")</f>
        <v xml:space="preserve">   640320</v>
      </c>
      <c r="B3695"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3695">
        <v>312000</v>
      </c>
      <c r="D3695">
        <v>120</v>
      </c>
    </row>
    <row r="3696" spans="1:4" x14ac:dyDescent="0.25">
      <c r="A3696" t="str">
        <f>T("   650400")</f>
        <v xml:space="preserve">   650400</v>
      </c>
      <c r="B3696"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3696">
        <v>100000</v>
      </c>
      <c r="D3696">
        <v>110</v>
      </c>
    </row>
    <row r="3697" spans="1:4" x14ac:dyDescent="0.25">
      <c r="A3697" t="str">
        <f>T("   711790")</f>
        <v xml:space="preserve">   711790</v>
      </c>
      <c r="B3697" t="str">
        <f>T("   Bijouterie de fantaisie (autre qu'en métaux communs, même argentés, dorés ou platinés)")</f>
        <v xml:space="preserve">   Bijouterie de fantaisie (autre qu'en métaux communs, même argentés, dorés ou platinés)</v>
      </c>
      <c r="C3697">
        <v>7044449</v>
      </c>
      <c r="D3697">
        <v>2228</v>
      </c>
    </row>
    <row r="3698" spans="1:4" x14ac:dyDescent="0.25">
      <c r="A3698" t="str">
        <f>T("   732399")</f>
        <v xml:space="preserve">   732399</v>
      </c>
      <c r="B3698" t="s">
        <v>390</v>
      </c>
      <c r="C3698">
        <v>700000</v>
      </c>
      <c r="D3698">
        <v>900</v>
      </c>
    </row>
    <row r="3699" spans="1:4" x14ac:dyDescent="0.25">
      <c r="A3699" t="str">
        <f>T("   830130")</f>
        <v xml:space="preserve">   830130</v>
      </c>
      <c r="B3699" t="str">
        <f>T("   Serrures des types utilisés pour meubles, en métaux communs")</f>
        <v xml:space="preserve">   Serrures des types utilisés pour meubles, en métaux communs</v>
      </c>
      <c r="C3699">
        <v>160000</v>
      </c>
      <c r="D3699">
        <v>30</v>
      </c>
    </row>
    <row r="3700" spans="1:4" x14ac:dyDescent="0.25">
      <c r="A3700" t="str">
        <f>T("   847990")</f>
        <v xml:space="preserve">   847990</v>
      </c>
      <c r="B3700" t="str">
        <f>T("   Parties de machines et appareils, y.c. les appareils mécaniques, n.d.a.")</f>
        <v xml:space="preserve">   Parties de machines et appareils, y.c. les appareils mécaniques, n.d.a.</v>
      </c>
      <c r="C3700">
        <v>229543</v>
      </c>
      <c r="D3700">
        <v>90</v>
      </c>
    </row>
    <row r="3701" spans="1:4" x14ac:dyDescent="0.25">
      <c r="A3701" t="str">
        <f>T("   850440")</f>
        <v xml:space="preserve">   850440</v>
      </c>
      <c r="B3701" t="str">
        <f>T("   CONVERTISSEURS STATIQUES")</f>
        <v xml:space="preserve">   CONVERTISSEURS STATIQUES</v>
      </c>
      <c r="C3701">
        <v>50000</v>
      </c>
      <c r="D3701">
        <v>36</v>
      </c>
    </row>
    <row r="3702" spans="1:4" x14ac:dyDescent="0.25">
      <c r="A3702" t="str">
        <f>T("   870880")</f>
        <v xml:space="preserve">   870880</v>
      </c>
      <c r="B3702" t="s">
        <v>520</v>
      </c>
      <c r="C3702">
        <v>205000</v>
      </c>
      <c r="D3702">
        <v>8</v>
      </c>
    </row>
    <row r="3703" spans="1:4" x14ac:dyDescent="0.25">
      <c r="A3703" t="str">
        <f>T("   870899")</f>
        <v xml:space="preserve">   870899</v>
      </c>
      <c r="B370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703">
        <v>420000</v>
      </c>
      <c r="D3703">
        <v>88</v>
      </c>
    </row>
    <row r="3704" spans="1:4" x14ac:dyDescent="0.25">
      <c r="A3704" t="str">
        <f>T("   902580")</f>
        <v xml:space="preserve">   902580</v>
      </c>
      <c r="B3704" t="s">
        <v>531</v>
      </c>
      <c r="C3704">
        <v>75000</v>
      </c>
      <c r="D3704">
        <v>2</v>
      </c>
    </row>
    <row r="3705" spans="1:4" x14ac:dyDescent="0.25">
      <c r="A3705" t="str">
        <f>T("   940360")</f>
        <v xml:space="preserve">   940360</v>
      </c>
      <c r="B3705" t="str">
        <f>T("   Meubles en bois (autres que pour bureaux, cuisines ou chambres à coucher et autres que sièges)")</f>
        <v xml:space="preserve">   Meubles en bois (autres que pour bureaux, cuisines ou chambres à coucher et autres que sièges)</v>
      </c>
      <c r="C3705">
        <v>1500000</v>
      </c>
      <c r="D3705">
        <v>2000</v>
      </c>
    </row>
    <row r="3706" spans="1:4" x14ac:dyDescent="0.25">
      <c r="A3706" t="str">
        <f>T("FI")</f>
        <v>FI</v>
      </c>
      <c r="B3706" t="str">
        <f>T("Finlande")</f>
        <v>Finlande</v>
      </c>
    </row>
    <row r="3707" spans="1:4" x14ac:dyDescent="0.25">
      <c r="A3707" t="str">
        <f>T("   ZZ_Total_Produit_SH6")</f>
        <v xml:space="preserve">   ZZ_Total_Produit_SH6</v>
      </c>
      <c r="B3707" t="str">
        <f>T("   ZZ_Total_Produit_SH6")</f>
        <v xml:space="preserve">   ZZ_Total_Produit_SH6</v>
      </c>
      <c r="C3707">
        <v>1211300583</v>
      </c>
      <c r="D3707">
        <v>740147</v>
      </c>
    </row>
    <row r="3708" spans="1:4" x14ac:dyDescent="0.25">
      <c r="A3708" t="str">
        <f>T("   300490")</f>
        <v xml:space="preserve">   300490</v>
      </c>
      <c r="B3708" t="s">
        <v>84</v>
      </c>
      <c r="C3708">
        <v>305780241</v>
      </c>
      <c r="D3708">
        <v>960</v>
      </c>
    </row>
    <row r="3709" spans="1:4" x14ac:dyDescent="0.25">
      <c r="A3709" t="str">
        <f>T("   300660")</f>
        <v xml:space="preserve">   300660</v>
      </c>
      <c r="B3709"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709">
        <v>120053523</v>
      </c>
      <c r="D3709">
        <v>526</v>
      </c>
    </row>
    <row r="3710" spans="1:4" x14ac:dyDescent="0.25">
      <c r="A3710" t="str">
        <f>T("   401031")</f>
        <v xml:space="preserve">   401031</v>
      </c>
      <c r="B3710"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3710">
        <v>107650</v>
      </c>
      <c r="D3710">
        <v>1</v>
      </c>
    </row>
    <row r="3711" spans="1:4" x14ac:dyDescent="0.25">
      <c r="A3711" t="str">
        <f>T("   401693")</f>
        <v xml:space="preserve">   401693</v>
      </c>
      <c r="B3711" t="str">
        <f>T("   Joints en caoutchouc vulcanisé non durci (à l'excl. des articles en caoutchouc alvéolaire)")</f>
        <v xml:space="preserve">   Joints en caoutchouc vulcanisé non durci (à l'excl. des articles en caoutchouc alvéolaire)</v>
      </c>
      <c r="C3711">
        <v>374527</v>
      </c>
      <c r="D3711">
        <v>5</v>
      </c>
    </row>
    <row r="3712" spans="1:4" x14ac:dyDescent="0.25">
      <c r="A3712" t="str">
        <f>T("   480100")</f>
        <v xml:space="preserve">   480100</v>
      </c>
      <c r="B3712"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3712">
        <v>34789534</v>
      </c>
      <c r="D3712">
        <v>98916</v>
      </c>
    </row>
    <row r="3713" spans="1:4" x14ac:dyDescent="0.25">
      <c r="A3713" t="str">
        <f>T("   480255")</f>
        <v xml:space="preserve">   480255</v>
      </c>
      <c r="B3713" t="s">
        <v>206</v>
      </c>
      <c r="C3713">
        <v>197998423</v>
      </c>
      <c r="D3713">
        <v>391163</v>
      </c>
    </row>
    <row r="3714" spans="1:4" x14ac:dyDescent="0.25">
      <c r="A3714" t="str">
        <f>T("   480269")</f>
        <v xml:space="preserve">   480269</v>
      </c>
      <c r="B3714" t="s">
        <v>208</v>
      </c>
      <c r="C3714">
        <v>72567542</v>
      </c>
      <c r="D3714">
        <v>149179</v>
      </c>
    </row>
    <row r="3715" spans="1:4" x14ac:dyDescent="0.25">
      <c r="A3715" t="str">
        <f>T("   481690")</f>
        <v xml:space="preserve">   481690</v>
      </c>
      <c r="B3715" t="s">
        <v>231</v>
      </c>
      <c r="C3715">
        <v>24995356</v>
      </c>
      <c r="D3715">
        <v>51379</v>
      </c>
    </row>
    <row r="3716" spans="1:4" x14ac:dyDescent="0.25">
      <c r="A3716" t="str">
        <f>T("   482340")</f>
        <v xml:space="preserve">   482340</v>
      </c>
      <c r="B3716"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3716">
        <v>12570426</v>
      </c>
      <c r="D3716">
        <v>24670</v>
      </c>
    </row>
    <row r="3717" spans="1:4" x14ac:dyDescent="0.25">
      <c r="A3717" t="str">
        <f>T("   610419")</f>
        <v xml:space="preserve">   610419</v>
      </c>
      <c r="B3717" t="str">
        <f>T("   COSTUMES TAILLEURS EN BONNETERIE, DE MATIÈRES TEXTILES, POUR FEMMES OU FILLETTES (SAUF DE FIBRES SYNTHÉTIQUES ET À L'EXCL. DES COMBINAISONS DE SKI ET MAILLOTS, DES CULOTTES ET SLIPS DE BAIN)")</f>
        <v xml:space="preserve">   COSTUMES TAILLEURS EN BONNETERIE, DE MATIÈRES TEXTILES, POUR FEMMES OU FILLETTES (SAUF DE FIBRES SYNTHÉTIQUES ET À L'EXCL. DES COMBINAISONS DE SKI ET MAILLOTS, DES CULOTTES ET SLIPS DE BAIN)</v>
      </c>
      <c r="C3717">
        <v>450000</v>
      </c>
      <c r="D3717">
        <v>70</v>
      </c>
    </row>
    <row r="3718" spans="1:4" x14ac:dyDescent="0.25">
      <c r="A3718" t="str">
        <f>T("   731815")</f>
        <v xml:space="preserve">   731815</v>
      </c>
      <c r="B3718" t="s">
        <v>380</v>
      </c>
      <c r="C3718">
        <v>501816</v>
      </c>
      <c r="D3718">
        <v>31</v>
      </c>
    </row>
    <row r="3719" spans="1:4" x14ac:dyDescent="0.25">
      <c r="A3719" t="str">
        <f>T("   731816")</f>
        <v xml:space="preserve">   731816</v>
      </c>
      <c r="B3719" t="str">
        <f>T("   ÉCROUS EN FONTE, FER OU ACIER")</f>
        <v xml:space="preserve">   ÉCROUS EN FONTE, FER OU ACIER</v>
      </c>
      <c r="C3719">
        <v>1247688</v>
      </c>
      <c r="D3719">
        <v>6</v>
      </c>
    </row>
    <row r="3720" spans="1:4" x14ac:dyDescent="0.25">
      <c r="A3720" t="str">
        <f>T("   732020")</f>
        <v xml:space="preserve">   732020</v>
      </c>
      <c r="B3720"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3720">
        <v>17232882</v>
      </c>
      <c r="D3720">
        <v>3901</v>
      </c>
    </row>
    <row r="3721" spans="1:4" x14ac:dyDescent="0.25">
      <c r="A3721" t="str">
        <f>T("   840999")</f>
        <v xml:space="preserve">   840999</v>
      </c>
      <c r="B372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721">
        <v>769940</v>
      </c>
      <c r="D3721">
        <v>1</v>
      </c>
    </row>
    <row r="3722" spans="1:4" x14ac:dyDescent="0.25">
      <c r="A3722" t="str">
        <f>T("   841121")</f>
        <v xml:space="preserve">   841121</v>
      </c>
      <c r="B3722" t="str">
        <f>T("   Turbopropulseurs, puissance &lt;= 1.100 kW")</f>
        <v xml:space="preserve">   Turbopropulseurs, puissance &lt;= 1.100 kW</v>
      </c>
      <c r="C3722">
        <v>6081917</v>
      </c>
      <c r="D3722">
        <v>325</v>
      </c>
    </row>
    <row r="3723" spans="1:4" x14ac:dyDescent="0.25">
      <c r="A3723" t="str">
        <f>T("   843120")</f>
        <v xml:space="preserve">   843120</v>
      </c>
      <c r="B3723" t="str">
        <f>T("   Parties de chariots-gerbeurs et autres chariots de manutention munis d'un dispositif de levage, n.d.a.")</f>
        <v xml:space="preserve">   Parties de chariots-gerbeurs et autres chariots de manutention munis d'un dispositif de levage, n.d.a.</v>
      </c>
      <c r="C3723">
        <v>182200336</v>
      </c>
      <c r="D3723">
        <v>7513.94</v>
      </c>
    </row>
    <row r="3724" spans="1:4" x14ac:dyDescent="0.25">
      <c r="A3724" t="str">
        <f>T("   843139")</f>
        <v xml:space="preserve">   843139</v>
      </c>
      <c r="B3724" t="str">
        <f>T("   Parties de machines et appareils du n° 8428, n.d.a.")</f>
        <v xml:space="preserve">   Parties de machines et appareils du n° 8428, n.d.a.</v>
      </c>
      <c r="C3724">
        <v>63491857</v>
      </c>
      <c r="D3724">
        <v>4539.0600000000004</v>
      </c>
    </row>
    <row r="3725" spans="1:4" x14ac:dyDescent="0.25">
      <c r="A3725" t="str">
        <f>T("   843149")</f>
        <v xml:space="preserve">   843149</v>
      </c>
      <c r="B3725" t="str">
        <f>T("   Parties de machines et appareils du n° 8426, 8429 ou 8430, n.d.a.")</f>
        <v xml:space="preserve">   Parties de machines et appareils du n° 8426, 8429 ou 8430, n.d.a.</v>
      </c>
      <c r="C3725">
        <v>35488091</v>
      </c>
      <c r="D3725">
        <v>3221</v>
      </c>
    </row>
    <row r="3726" spans="1:4" x14ac:dyDescent="0.25">
      <c r="A3726" t="str">
        <f>T("   848280")</f>
        <v xml:space="preserve">   848280</v>
      </c>
      <c r="B3726" t="s">
        <v>467</v>
      </c>
      <c r="C3726">
        <v>2010465</v>
      </c>
      <c r="D3726">
        <v>1270</v>
      </c>
    </row>
    <row r="3727" spans="1:4" x14ac:dyDescent="0.25">
      <c r="A3727" t="str">
        <f>T("   848490")</f>
        <v xml:space="preserve">   848490</v>
      </c>
      <c r="B3727" t="str">
        <f>T("   Jeux ou assortiments de joints de composition différente présentés en pochettes, enveloppes ou emballages analogues")</f>
        <v xml:space="preserve">   Jeux ou assortiments de joints de composition différente présentés en pochettes, enveloppes ou emballages analogues</v>
      </c>
      <c r="C3727">
        <v>1846363</v>
      </c>
      <c r="D3727">
        <v>71</v>
      </c>
    </row>
    <row r="3728" spans="1:4" x14ac:dyDescent="0.25">
      <c r="A3728" t="str">
        <f>T("   850440")</f>
        <v xml:space="preserve">   850440</v>
      </c>
      <c r="B3728" t="str">
        <f>T("   CONVERTISSEURS STATIQUES")</f>
        <v xml:space="preserve">   CONVERTISSEURS STATIQUES</v>
      </c>
      <c r="C3728">
        <v>1125470</v>
      </c>
      <c r="D3728">
        <v>39</v>
      </c>
    </row>
    <row r="3729" spans="1:4" x14ac:dyDescent="0.25">
      <c r="A3729" t="str">
        <f>T("   850720")</f>
        <v xml:space="preserve">   850720</v>
      </c>
      <c r="B3729" t="str">
        <f>T("   Accumulateurs au plomb (sauf hors d'usage et autres que pour le démarrage des moteurs à piston)")</f>
        <v xml:space="preserve">   Accumulateurs au plomb (sauf hors d'usage et autres que pour le démarrage des moteurs à piston)</v>
      </c>
      <c r="C3729">
        <v>489938</v>
      </c>
      <c r="D3729">
        <v>122</v>
      </c>
    </row>
    <row r="3730" spans="1:4" x14ac:dyDescent="0.25">
      <c r="A3730" t="str">
        <f>T("   853710")</f>
        <v xml:space="preserve">   853710</v>
      </c>
      <c r="B373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730">
        <v>123402265</v>
      </c>
      <c r="D3730">
        <v>1334</v>
      </c>
    </row>
    <row r="3731" spans="1:4" x14ac:dyDescent="0.25">
      <c r="A3731" t="str">
        <f>T("   854430")</f>
        <v xml:space="preserve">   854430</v>
      </c>
      <c r="B3731" t="str">
        <f>T("   Jeux de fils pour bougies d'allumage et autres jeux de fils, pour moyens de transport")</f>
        <v xml:space="preserve">   Jeux de fils pour bougies d'allumage et autres jeux de fils, pour moyens de transport</v>
      </c>
      <c r="C3731">
        <v>640420</v>
      </c>
      <c r="D3731">
        <v>14</v>
      </c>
    </row>
    <row r="3732" spans="1:4" x14ac:dyDescent="0.25">
      <c r="A3732" t="str">
        <f>T("   870323")</f>
        <v xml:space="preserve">   870323</v>
      </c>
      <c r="B3732" t="s">
        <v>507</v>
      </c>
      <c r="C3732">
        <v>1200000</v>
      </c>
      <c r="D3732">
        <v>750</v>
      </c>
    </row>
    <row r="3733" spans="1:4" x14ac:dyDescent="0.25">
      <c r="A3733" t="str">
        <f>T("   902620")</f>
        <v xml:space="preserve">   902620</v>
      </c>
      <c r="B3733"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733">
        <v>3883913</v>
      </c>
      <c r="D3733">
        <v>140</v>
      </c>
    </row>
    <row r="3734" spans="1:4" x14ac:dyDescent="0.25">
      <c r="A3734" t="str">
        <f>T("FJ")</f>
        <v>FJ</v>
      </c>
      <c r="B3734" t="str">
        <f>T("Fiji")</f>
        <v>Fiji</v>
      </c>
    </row>
    <row r="3735" spans="1:4" x14ac:dyDescent="0.25">
      <c r="A3735" t="str">
        <f>T("   ZZ_Total_Produit_SH6")</f>
        <v xml:space="preserve">   ZZ_Total_Produit_SH6</v>
      </c>
      <c r="B3735" t="str">
        <f>T("   ZZ_Total_Produit_SH6")</f>
        <v xml:space="preserve">   ZZ_Total_Produit_SH6</v>
      </c>
      <c r="C3735">
        <v>9836067</v>
      </c>
      <c r="D3735">
        <v>84084</v>
      </c>
    </row>
    <row r="3736" spans="1:4" x14ac:dyDescent="0.25">
      <c r="A3736" t="str">
        <f>T("   690890")</f>
        <v xml:space="preserve">   690890</v>
      </c>
      <c r="B3736" t="s">
        <v>336</v>
      </c>
      <c r="C3736">
        <v>9836067</v>
      </c>
      <c r="D3736">
        <v>84084</v>
      </c>
    </row>
    <row r="3737" spans="1:4" x14ac:dyDescent="0.25">
      <c r="A3737" t="str">
        <f>T("FK")</f>
        <v>FK</v>
      </c>
      <c r="B3737" t="str">
        <f>T("Falkland, îles (Malvinas)")</f>
        <v>Falkland, îles (Malvinas)</v>
      </c>
    </row>
    <row r="3738" spans="1:4" x14ac:dyDescent="0.25">
      <c r="A3738" t="str">
        <f>T("   ZZ_Total_Produit_SH6")</f>
        <v xml:space="preserve">   ZZ_Total_Produit_SH6</v>
      </c>
      <c r="B3738" t="str">
        <f>T("   ZZ_Total_Produit_SH6")</f>
        <v xml:space="preserve">   ZZ_Total_Produit_SH6</v>
      </c>
      <c r="C3738">
        <v>20712474</v>
      </c>
      <c r="D3738">
        <v>900</v>
      </c>
    </row>
    <row r="3739" spans="1:4" x14ac:dyDescent="0.25">
      <c r="A3739" t="str">
        <f>T("   300220")</f>
        <v xml:space="preserve">   300220</v>
      </c>
      <c r="B3739" t="str">
        <f>T("   Vaccins pour la médecine humaine")</f>
        <v xml:space="preserve">   Vaccins pour la médecine humaine</v>
      </c>
      <c r="C3739">
        <v>20712474</v>
      </c>
      <c r="D3739">
        <v>900</v>
      </c>
    </row>
    <row r="3740" spans="1:4" x14ac:dyDescent="0.25">
      <c r="A3740" t="str">
        <f>T("FM")</f>
        <v>FM</v>
      </c>
      <c r="B3740" t="str">
        <f>T("Micronésie, Etats Fédérés de")</f>
        <v>Micronésie, Etats Fédérés de</v>
      </c>
    </row>
    <row r="3741" spans="1:4" x14ac:dyDescent="0.25">
      <c r="A3741" t="str">
        <f>T("   ZZ_Total_Produit_SH6")</f>
        <v xml:space="preserve">   ZZ_Total_Produit_SH6</v>
      </c>
      <c r="B3741" t="str">
        <f>T("   ZZ_Total_Produit_SH6")</f>
        <v xml:space="preserve">   ZZ_Total_Produit_SH6</v>
      </c>
      <c r="C3741">
        <v>75057508</v>
      </c>
      <c r="D3741">
        <v>338</v>
      </c>
    </row>
    <row r="3742" spans="1:4" x14ac:dyDescent="0.25">
      <c r="A3742" t="str">
        <f>T("   300660")</f>
        <v xml:space="preserve">   300660</v>
      </c>
      <c r="B3742"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742">
        <v>75057508</v>
      </c>
      <c r="D3742">
        <v>338</v>
      </c>
    </row>
    <row r="3743" spans="1:4" x14ac:dyDescent="0.25">
      <c r="A3743" t="str">
        <f>T("FR")</f>
        <v>FR</v>
      </c>
      <c r="B3743" t="str">
        <f>T("France")</f>
        <v>France</v>
      </c>
    </row>
    <row r="3744" spans="1:4" x14ac:dyDescent="0.25">
      <c r="A3744" t="str">
        <f>T("   ZZ_Total_Produit_SH6")</f>
        <v xml:space="preserve">   ZZ_Total_Produit_SH6</v>
      </c>
      <c r="B3744" t="str">
        <f>T("   ZZ_Total_Produit_SH6")</f>
        <v xml:space="preserve">   ZZ_Total_Produit_SH6</v>
      </c>
      <c r="C3744">
        <v>164138003398.30099</v>
      </c>
      <c r="D3744">
        <v>179361302.88</v>
      </c>
    </row>
    <row r="3745" spans="1:4" x14ac:dyDescent="0.25">
      <c r="A3745" t="str">
        <f>T("   010511")</f>
        <v xml:space="preserve">   010511</v>
      </c>
      <c r="B3745" t="str">
        <f>T("   Coqs et poules [des espèces domestiques], vivants, d'un poids &lt;= 185 g")</f>
        <v xml:space="preserve">   Coqs et poules [des espèces domestiques], vivants, d'un poids &lt;= 185 g</v>
      </c>
      <c r="C3745">
        <v>15542113</v>
      </c>
      <c r="D3745">
        <v>10019</v>
      </c>
    </row>
    <row r="3746" spans="1:4" x14ac:dyDescent="0.25">
      <c r="A3746" t="str">
        <f>T("   020210")</f>
        <v xml:space="preserve">   020210</v>
      </c>
      <c r="B3746" t="str">
        <f>T("   Carcasses ou demi-carcasses, de bovins, congelées")</f>
        <v xml:space="preserve">   Carcasses ou demi-carcasses, de bovins, congelées</v>
      </c>
      <c r="C3746">
        <v>15552812</v>
      </c>
      <c r="D3746">
        <v>18005</v>
      </c>
    </row>
    <row r="3747" spans="1:4" x14ac:dyDescent="0.25">
      <c r="A3747" t="str">
        <f>T("   020230")</f>
        <v xml:space="preserve">   020230</v>
      </c>
      <c r="B3747" t="str">
        <f>T("   Viandes désossées de bovins, congelées")</f>
        <v xml:space="preserve">   Viandes désossées de bovins, congelées</v>
      </c>
      <c r="C3747">
        <v>437526</v>
      </c>
      <c r="D3747">
        <v>260</v>
      </c>
    </row>
    <row r="3748" spans="1:4" x14ac:dyDescent="0.25">
      <c r="A3748" t="str">
        <f>T("   020312")</f>
        <v xml:space="preserve">   020312</v>
      </c>
      <c r="B3748" t="str">
        <f>T("   JAMBONS, ÉPAULES ET LEURS MORCEAUX, NON-DÉSOSSÉS, DE PORCINS, FRAIS OU RÉFRIGÉRÉS")</f>
        <v xml:space="preserve">   JAMBONS, ÉPAULES ET LEURS MORCEAUX, NON-DÉSOSSÉS, DE PORCINS, FRAIS OU RÉFRIGÉRÉS</v>
      </c>
      <c r="C3748">
        <v>131192</v>
      </c>
      <c r="D3748">
        <v>55</v>
      </c>
    </row>
    <row r="3749" spans="1:4" x14ac:dyDescent="0.25">
      <c r="A3749" t="str">
        <f>T("   020430")</f>
        <v xml:space="preserve">   020430</v>
      </c>
      <c r="B3749" t="str">
        <f>T("   Carcasses ou demi-carcasses, d'agneaux, congelées")</f>
        <v xml:space="preserve">   Carcasses ou demi-carcasses, d'agneaux, congelées</v>
      </c>
      <c r="C3749">
        <v>15016237</v>
      </c>
      <c r="D3749">
        <v>17020</v>
      </c>
    </row>
    <row r="3750" spans="1:4" x14ac:dyDescent="0.25">
      <c r="A3750" t="str">
        <f>T("   020629")</f>
        <v xml:space="preserve">   020629</v>
      </c>
      <c r="B3750" t="str">
        <f>T("   Abats comestibles de bovins, congelés (à l'excl. des langues et des foies)")</f>
        <v xml:space="preserve">   Abats comestibles de bovins, congelés (à l'excl. des langues et des foies)</v>
      </c>
      <c r="C3750">
        <v>31894088</v>
      </c>
      <c r="D3750">
        <v>41901</v>
      </c>
    </row>
    <row r="3751" spans="1:4" x14ac:dyDescent="0.25">
      <c r="A3751" t="str">
        <f>T("   020649")</f>
        <v xml:space="preserve">   020649</v>
      </c>
      <c r="B3751" t="str">
        <f>T("   Abats comestibles de porcins, congelés (à l'excl. des foies)")</f>
        <v xml:space="preserve">   Abats comestibles de porcins, congelés (à l'excl. des foies)</v>
      </c>
      <c r="C3751">
        <v>15081177</v>
      </c>
      <c r="D3751">
        <v>28187</v>
      </c>
    </row>
    <row r="3752" spans="1:4" x14ac:dyDescent="0.25">
      <c r="A3752" t="str">
        <f>T("   020711")</f>
        <v xml:space="preserve">   020711</v>
      </c>
      <c r="B3752" t="str">
        <f>T("   COQS ET POULES [DES ESPÈCES DOMESTIQUES], NON-DÉCOUPÉS EN MORCEAUX, FRAIS OU RÉFRIGÉRÉS")</f>
        <v xml:space="preserve">   COQS ET POULES [DES ESPÈCES DOMESTIQUES], NON-DÉCOUPÉS EN MORCEAUX, FRAIS OU RÉFRIGÉRÉS</v>
      </c>
      <c r="C3752">
        <v>204455021</v>
      </c>
      <c r="D3752">
        <v>336906</v>
      </c>
    </row>
    <row r="3753" spans="1:4" x14ac:dyDescent="0.25">
      <c r="A3753" t="str">
        <f>T("   020712")</f>
        <v xml:space="preserve">   020712</v>
      </c>
      <c r="B3753" t="str">
        <f>T("   COQS ET POULES [DES ESPÈCES DOMESTIQUES], NON-DÉCOUPÉS EN MORCEAUX, CONGELÉS")</f>
        <v xml:space="preserve">   COQS ET POULES [DES ESPÈCES DOMESTIQUES], NON-DÉCOUPÉS EN MORCEAUX, CONGELÉS</v>
      </c>
      <c r="C3753">
        <v>5235000522</v>
      </c>
      <c r="D3753">
        <v>8406945.3499999996</v>
      </c>
    </row>
    <row r="3754" spans="1:4" x14ac:dyDescent="0.25">
      <c r="A3754" t="str">
        <f>T("   020713")</f>
        <v xml:space="preserve">   020713</v>
      </c>
      <c r="B3754" t="str">
        <f>T("   Morceaux et abats comestibles de coqs et de poules [des espèces domestiques], frais ou réfrigérés")</f>
        <v xml:space="preserve">   Morceaux et abats comestibles de coqs et de poules [des espèces domestiques], frais ou réfrigérés</v>
      </c>
      <c r="C3754">
        <v>15550188</v>
      </c>
      <c r="D3754">
        <v>27000</v>
      </c>
    </row>
    <row r="3755" spans="1:4" x14ac:dyDescent="0.25">
      <c r="A3755" t="str">
        <f>T("   020714")</f>
        <v xml:space="preserve">   020714</v>
      </c>
      <c r="B3755" t="str">
        <f>T("   Morceaux et abats comestibles de coqs et de poules [des espèces domestiques], congelés")</f>
        <v xml:space="preserve">   Morceaux et abats comestibles de coqs et de poules [des espèces domestiques], congelés</v>
      </c>
      <c r="C3755">
        <v>9807178126</v>
      </c>
      <c r="D3755">
        <v>15773618</v>
      </c>
    </row>
    <row r="3756" spans="1:4" x14ac:dyDescent="0.25">
      <c r="A3756" t="str">
        <f>T("   020724")</f>
        <v xml:space="preserve">   020724</v>
      </c>
      <c r="B3756" t="str">
        <f>T("   DINDES ET DINDONS [DES ESPÈCES DOMESTIQUES], NON-DÉCOUPÉES EN MORCEAUX, FRAIS OU RÉFRIGÉRÉS")</f>
        <v xml:space="preserve">   DINDES ET DINDONS [DES ESPÈCES DOMESTIQUES], NON-DÉCOUPÉES EN MORCEAUX, FRAIS OU RÉFRIGÉRÉS</v>
      </c>
      <c r="C3756">
        <v>15550188</v>
      </c>
      <c r="D3756">
        <v>25000</v>
      </c>
    </row>
    <row r="3757" spans="1:4" x14ac:dyDescent="0.25">
      <c r="A3757" t="str">
        <f>T("   020725")</f>
        <v xml:space="preserve">   020725</v>
      </c>
      <c r="B3757" t="str">
        <f>T("   DINDES ET DINDONS [DES ESPÈCES DOMESTIQUES], NON-DÉCOUPÉS EN MORCEAUX, CONGELÉS")</f>
        <v xml:space="preserve">   DINDES ET DINDONS [DES ESPÈCES DOMESTIQUES], NON-DÉCOUPÉS EN MORCEAUX, CONGELÉS</v>
      </c>
      <c r="C3757">
        <v>24877912</v>
      </c>
      <c r="D3757">
        <v>40020</v>
      </c>
    </row>
    <row r="3758" spans="1:4" x14ac:dyDescent="0.25">
      <c r="A3758" t="str">
        <f>T("   020726")</f>
        <v xml:space="preserve">   020726</v>
      </c>
      <c r="B3758" t="str">
        <f>T("   Morceaux et abats comestibles de dindes et dindons [des espèces domestiques], frais ou réfrigérés")</f>
        <v xml:space="preserve">   Morceaux et abats comestibles de dindes et dindons [des espèces domestiques], frais ou réfrigérés</v>
      </c>
      <c r="C3758">
        <v>93327178</v>
      </c>
      <c r="D3758">
        <v>154050</v>
      </c>
    </row>
    <row r="3759" spans="1:4" x14ac:dyDescent="0.25">
      <c r="A3759" t="str">
        <f>T("   020727")</f>
        <v xml:space="preserve">   020727</v>
      </c>
      <c r="B3759" t="str">
        <f>T("   Morceaux et abats comestibles de dindes et dindons [des espèces domestiques], congelés")</f>
        <v xml:space="preserve">   Morceaux et abats comestibles de dindes et dindons [des espèces domestiques], congelés</v>
      </c>
      <c r="C3759">
        <v>12058384302</v>
      </c>
      <c r="D3759">
        <v>19360327</v>
      </c>
    </row>
    <row r="3760" spans="1:4" x14ac:dyDescent="0.25">
      <c r="A3760" t="str">
        <f>T("   020733")</f>
        <v xml:space="preserve">   020733</v>
      </c>
      <c r="B3760" t="str">
        <f>T("   CANARDS, OIES OU PINTADES [DES ESPÈCES DOMESTIQUES], NON-DÉCOUPÉS EN MORCEAUX, CONGELÉS")</f>
        <v xml:space="preserve">   CANARDS, OIES OU PINTADES [DES ESPÈCES DOMESTIQUES], NON-DÉCOUPÉS EN MORCEAUX, CONGELÉS</v>
      </c>
      <c r="C3760">
        <v>470979</v>
      </c>
      <c r="D3760">
        <v>756</v>
      </c>
    </row>
    <row r="3761" spans="1:4" x14ac:dyDescent="0.25">
      <c r="A3761" t="str">
        <f>T("   020736")</f>
        <v xml:space="preserve">   020736</v>
      </c>
      <c r="B3761" t="str">
        <f>T("   Morceaux et abats comestibles de canards, d'oies ou de pintades [des espèces domestiques], congelés (à l'excl. des foies gras)")</f>
        <v xml:space="preserve">   Morceaux et abats comestibles de canards, d'oies ou de pintades [des espèces domestiques], congelés (à l'excl. des foies gras)</v>
      </c>
      <c r="C3761">
        <v>63270011</v>
      </c>
      <c r="D3761">
        <v>96448</v>
      </c>
    </row>
    <row r="3762" spans="1:4" x14ac:dyDescent="0.25">
      <c r="A3762" t="str">
        <f>T("   020810")</f>
        <v xml:space="preserve">   020810</v>
      </c>
      <c r="B3762" t="str">
        <f>T("   Viandes et abats comestibles de lapins ou de lièvres, frais, réfrigérés ou congelés")</f>
        <v xml:space="preserve">   Viandes et abats comestibles de lapins ou de lièvres, frais, réfrigérés ou congelés</v>
      </c>
      <c r="C3762">
        <v>72762530</v>
      </c>
      <c r="D3762">
        <v>93123</v>
      </c>
    </row>
    <row r="3763" spans="1:4" x14ac:dyDescent="0.25">
      <c r="A3763" t="str">
        <f>T("   020890")</f>
        <v xml:space="preserve">   020890</v>
      </c>
      <c r="B3763" t="s">
        <v>13</v>
      </c>
      <c r="C3763">
        <v>1149754</v>
      </c>
      <c r="D3763">
        <v>2181</v>
      </c>
    </row>
    <row r="3764" spans="1:4" x14ac:dyDescent="0.25">
      <c r="A3764" t="str">
        <f>T("   021011")</f>
        <v xml:space="preserve">   021011</v>
      </c>
      <c r="B3764" t="str">
        <f>T("   JAMBONS, ÉPAULES ET LEURS MORCEAUX, NON-DÉSOSSÉS, DE PORCINS, SALÉS OU EN SAUMURE, SÉCHÉS OU FUMÉS")</f>
        <v xml:space="preserve">   JAMBONS, ÉPAULES ET LEURS MORCEAUX, NON-DÉSOSSÉS, DE PORCINS, SALÉS OU EN SAUMURE, SÉCHÉS OU FUMÉS</v>
      </c>
      <c r="C3764">
        <v>2069554</v>
      </c>
      <c r="D3764">
        <v>845</v>
      </c>
    </row>
    <row r="3765" spans="1:4" x14ac:dyDescent="0.25">
      <c r="A3765" t="str">
        <f>T("   021012")</f>
        <v xml:space="preserve">   021012</v>
      </c>
      <c r="B3765" t="str">
        <f>T("   Poitrines [entrelardés] et morceaux de poitrines, de porcins, salés ou en saumure, séchés ou fumés")</f>
        <v xml:space="preserve">   Poitrines [entrelardés] et morceaux de poitrines, de porcins, salés ou en saumure, séchés ou fumés</v>
      </c>
      <c r="C3765">
        <v>83307</v>
      </c>
      <c r="D3765">
        <v>150</v>
      </c>
    </row>
    <row r="3766" spans="1:4" x14ac:dyDescent="0.25">
      <c r="A3766" t="str">
        <f>T("   021019")</f>
        <v xml:space="preserve">   021019</v>
      </c>
      <c r="B3766"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3766">
        <v>1583734</v>
      </c>
      <c r="D3766">
        <v>2498</v>
      </c>
    </row>
    <row r="3767" spans="1:4" x14ac:dyDescent="0.25">
      <c r="A3767" t="str">
        <f>T("   021099")</f>
        <v xml:space="preserve">   021099</v>
      </c>
      <c r="B3767" t="s">
        <v>14</v>
      </c>
      <c r="C3767">
        <v>8762314</v>
      </c>
      <c r="D3767">
        <v>13843</v>
      </c>
    </row>
    <row r="3768" spans="1:4" x14ac:dyDescent="0.25">
      <c r="A3768" t="str">
        <f>T("   030219")</f>
        <v xml:space="preserve">   030219</v>
      </c>
      <c r="B3768" t="str">
        <f>T("   Salmonidés, frais ou réfrigérés (à l'excl. des truites et des saumons du Pacifique, de l'Atlantique et du Danube)")</f>
        <v xml:space="preserve">   Salmonidés, frais ou réfrigérés (à l'excl. des truites et des saumons du Pacifique, de l'Atlantique et du Danube)</v>
      </c>
      <c r="C3768">
        <v>5401831</v>
      </c>
      <c r="D3768">
        <v>22784</v>
      </c>
    </row>
    <row r="3769" spans="1:4" x14ac:dyDescent="0.25">
      <c r="A3769" t="str">
        <f>T("   030229")</f>
        <v xml:space="preserve">   030229</v>
      </c>
      <c r="B3769"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3769">
        <v>11250000</v>
      </c>
      <c r="D3769">
        <v>50000</v>
      </c>
    </row>
    <row r="3770" spans="1:4" x14ac:dyDescent="0.25">
      <c r="A3770" t="str">
        <f>T("   030311")</f>
        <v xml:space="preserve">   030311</v>
      </c>
      <c r="B3770" t="str">
        <f>T("   Saumons rouges [Oncorhynchus nerka], congelés")</f>
        <v xml:space="preserve">   Saumons rouges [Oncorhynchus nerka], congelés</v>
      </c>
      <c r="C3770">
        <v>1404411</v>
      </c>
      <c r="D3770">
        <v>1120</v>
      </c>
    </row>
    <row r="3771" spans="1:4" x14ac:dyDescent="0.25">
      <c r="A3771" t="str">
        <f>T("   030319")</f>
        <v xml:space="preserve">   030319</v>
      </c>
      <c r="B3771"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3771">
        <v>1024609</v>
      </c>
      <c r="D3771">
        <v>1265</v>
      </c>
    </row>
    <row r="3772" spans="1:4" x14ac:dyDescent="0.25">
      <c r="A3772" t="str">
        <f>T("   030322")</f>
        <v xml:space="preserve">   030322</v>
      </c>
      <c r="B3772" t="str">
        <f>T("   Saumons de l'Atlantique [Salmo salar] et saumons du Danube [Hucho hucho], congelés")</f>
        <v xml:space="preserve">   Saumons de l'Atlantique [Salmo salar] et saumons du Danube [Hucho hucho], congelés</v>
      </c>
      <c r="C3772">
        <v>330605</v>
      </c>
      <c r="D3772">
        <v>513</v>
      </c>
    </row>
    <row r="3773" spans="1:4" x14ac:dyDescent="0.25">
      <c r="A3773" t="str">
        <f>T("   030329")</f>
        <v xml:space="preserve">   030329</v>
      </c>
      <c r="B3773" t="str">
        <f>T("   Salmonidés, congelés (à l'excl. des saumons du Pacifique, de l'Atlantique et du Danube ainsi que des truites)")</f>
        <v xml:space="preserve">   Salmonidés, congelés (à l'excl. des saumons du Pacifique, de l'Atlantique et du Danube ainsi que des truites)</v>
      </c>
      <c r="C3773">
        <v>71500</v>
      </c>
      <c r="D3773">
        <v>95</v>
      </c>
    </row>
    <row r="3774" spans="1:4" x14ac:dyDescent="0.25">
      <c r="A3774" t="str">
        <f>T("   030339")</f>
        <v xml:space="preserve">   030339</v>
      </c>
      <c r="B3774"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3774">
        <v>12375000</v>
      </c>
      <c r="D3774">
        <v>55000</v>
      </c>
    </row>
    <row r="3775" spans="1:4" x14ac:dyDescent="0.25">
      <c r="A3775" t="str">
        <f>T("   030371")</f>
        <v xml:space="preserve">   030371</v>
      </c>
      <c r="B3775" t="str">
        <f>T("   Sardines [Sardina pilchardus, Sardinops spp.], sardinelles [Sardinella spp.], sprats ou esprots [Sprattus sprattus], congelés")</f>
        <v xml:space="preserve">   Sardines [Sardina pilchardus, Sardinops spp.], sardinelles [Sardinella spp.], sprats ou esprots [Sprattus sprattus], congelés</v>
      </c>
      <c r="C3775">
        <v>15075507</v>
      </c>
      <c r="D3775">
        <v>67000</v>
      </c>
    </row>
    <row r="3776" spans="1:4" x14ac:dyDescent="0.25">
      <c r="A3776" t="str">
        <f>T("   030374")</f>
        <v xml:space="preserve">   030374</v>
      </c>
      <c r="B3776" t="str">
        <f>T("   Maquereaux [Scomber scombrus, Scomber australasicus, Scomber japonicus], congelés")</f>
        <v xml:space="preserve">   Maquereaux [Scomber scombrus, Scomber australasicus, Scomber japonicus], congelés</v>
      </c>
      <c r="C3776">
        <v>17100000</v>
      </c>
      <c r="D3776">
        <v>76000</v>
      </c>
    </row>
    <row r="3777" spans="1:4" x14ac:dyDescent="0.25">
      <c r="A3777" t="str">
        <f>T("   030379")</f>
        <v xml:space="preserve">   030379</v>
      </c>
      <c r="B3777" t="s">
        <v>16</v>
      </c>
      <c r="C3777">
        <v>401928335</v>
      </c>
      <c r="D3777">
        <v>1777038</v>
      </c>
    </row>
    <row r="3778" spans="1:4" x14ac:dyDescent="0.25">
      <c r="A3778" t="str">
        <f>T("   030420")</f>
        <v xml:space="preserve">   030420</v>
      </c>
      <c r="B3778" t="str">
        <f>T("   Filets de poissons, congelés")</f>
        <v xml:space="preserve">   Filets de poissons, congelés</v>
      </c>
      <c r="C3778">
        <v>181045</v>
      </c>
      <c r="D3778">
        <v>204</v>
      </c>
    </row>
    <row r="3779" spans="1:4" x14ac:dyDescent="0.25">
      <c r="A3779" t="str">
        <f>T("   030490")</f>
        <v xml:space="preserve">   030490</v>
      </c>
      <c r="B3779" t="str">
        <f>T("   Chair de poissons (sauf filets), même hachée, congelée")</f>
        <v xml:space="preserve">   Chair de poissons (sauf filets), même hachée, congelée</v>
      </c>
      <c r="C3779">
        <v>2061026</v>
      </c>
      <c r="D3779">
        <v>1591</v>
      </c>
    </row>
    <row r="3780" spans="1:4" x14ac:dyDescent="0.25">
      <c r="A3780" t="str">
        <f>T("   030499")</f>
        <v xml:space="preserve">   030499</v>
      </c>
      <c r="B3780" t="str">
        <f>T("   CHAIR DE POISSONS, MÊME HACHÉE, CONGÉLÉE (À L'EXCL. D'ESPADONS, DE LÉGINES AINSI QUE DE FILLETS)")</f>
        <v xml:space="preserve">   CHAIR DE POISSONS, MÊME HACHÉE, CONGÉLÉE (À L'EXCL. D'ESPADONS, DE LÉGINES AINSI QUE DE FILLETS)</v>
      </c>
      <c r="C3780">
        <v>3390001</v>
      </c>
      <c r="D3780">
        <v>1916</v>
      </c>
    </row>
    <row r="3781" spans="1:4" x14ac:dyDescent="0.25">
      <c r="A3781" t="str">
        <f>T("   030530")</f>
        <v xml:space="preserve">   030530</v>
      </c>
      <c r="B3781" t="str">
        <f>T("   FILETS DE POISSONS, SÉCHÉS, SALÉS OU EN SAUMURE, MAIS NON-FUMÉS")</f>
        <v xml:space="preserve">   FILETS DE POISSONS, SÉCHÉS, SALÉS OU EN SAUMURE, MAIS NON-FUMÉS</v>
      </c>
      <c r="C3781">
        <v>2651946</v>
      </c>
      <c r="D3781">
        <v>1725</v>
      </c>
    </row>
    <row r="3782" spans="1:4" x14ac:dyDescent="0.25">
      <c r="A3782" t="str">
        <f>T("   030541")</f>
        <v xml:space="preserve">   030541</v>
      </c>
      <c r="B3782" t="str">
        <f>T("   Filets de saumons du Pacifique [Oncorhynchus spp.], de saumons de l'Atlantique [Salmo salar] et de saumons du Danube [Hucho hucho], frais ou réfrigérés")</f>
        <v xml:space="preserve">   Filets de saumons du Pacifique [Oncorhynchus spp.], de saumons de l'Atlantique [Salmo salar] et de saumons du Danube [Hucho hucho], frais ou réfrigérés</v>
      </c>
      <c r="C3782">
        <v>3006265</v>
      </c>
      <c r="D3782">
        <v>1730</v>
      </c>
    </row>
    <row r="3783" spans="1:4" x14ac:dyDescent="0.25">
      <c r="A3783" t="str">
        <f>T("   030549")</f>
        <v xml:space="preserve">   030549</v>
      </c>
      <c r="B3783" t="str">
        <f>T("   Poissons fumés, y.c. les filets (à l'excl. des harengs et des saumons du Pacifique, de l'Atlantique et du Danube)")</f>
        <v xml:space="preserve">   Poissons fumés, y.c. les filets (à l'excl. des harengs et des saumons du Pacifique, de l'Atlantique et du Danube)</v>
      </c>
      <c r="C3783">
        <v>4627377</v>
      </c>
      <c r="D3783">
        <v>3344.46</v>
      </c>
    </row>
    <row r="3784" spans="1:4" x14ac:dyDescent="0.25">
      <c r="A3784" t="str">
        <f>T("   030613")</f>
        <v xml:space="preserve">   030613</v>
      </c>
      <c r="B3784" t="str">
        <f>T("   CREVETTES, MÊME DÉCORTIQUÉES, CONGELÉES, Y.C. LES CREVETTES NON-DÉCORTIQUÉES PRÉALABLEMENT CUITES À L'EAU OU À LA VAPEUR")</f>
        <v xml:space="preserve">   CREVETTES, MÊME DÉCORTIQUÉES, CONGELÉES, Y.C. LES CREVETTES NON-DÉCORTIQUÉES PRÉALABLEMENT CUITES À L'EAU OU À LA VAPEUR</v>
      </c>
      <c r="C3784">
        <v>3357858</v>
      </c>
      <c r="D3784">
        <v>1771</v>
      </c>
    </row>
    <row r="3785" spans="1:4" x14ac:dyDescent="0.25">
      <c r="A3785" t="str">
        <f>T("   030619")</f>
        <v xml:space="preserve">   030619</v>
      </c>
      <c r="B3785" t="s">
        <v>17</v>
      </c>
      <c r="C3785">
        <v>471636</v>
      </c>
      <c r="D3785">
        <v>730</v>
      </c>
    </row>
    <row r="3786" spans="1:4" x14ac:dyDescent="0.25">
      <c r="A3786" t="str">
        <f>T("   030623")</f>
        <v xml:space="preserve">   030623</v>
      </c>
      <c r="B3786"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3786">
        <v>226307</v>
      </c>
      <c r="D3786">
        <v>374</v>
      </c>
    </row>
    <row r="3787" spans="1:4" x14ac:dyDescent="0.25">
      <c r="A3787" t="str">
        <f>T("   030710")</f>
        <v xml:space="preserve">   030710</v>
      </c>
      <c r="B3787" t="str">
        <f>T("   Huîtres, vivantes, fraîches, réfrigérées, congelées, séchées, salées ou en saumure")</f>
        <v xml:space="preserve">   Huîtres, vivantes, fraîches, réfrigérées, congelées, séchées, salées ou en saumure</v>
      </c>
      <c r="C3787">
        <v>191685</v>
      </c>
      <c r="D3787">
        <v>46</v>
      </c>
    </row>
    <row r="3788" spans="1:4" x14ac:dyDescent="0.25">
      <c r="A3788" t="str">
        <f>T("   030721")</f>
        <v xml:space="preserve">   030721</v>
      </c>
      <c r="B3788" t="str">
        <f>T("   COQUILLES SAINT-JACQUES OU PEIGNÉS, PÉTONCLES OU VANNEAUX, ET AUTRES COQUILLAGES DES GENRES 'PECTEN', 'CHLAMYS' OU 'PLACOPECTEN', MÊME SÉPARÉS DE LEUR COQUILLE, VIVANTS, FRAIS OU RÉFRIGÉRÉS")</f>
        <v xml:space="preserve">   COQUILLES SAINT-JACQUES OU PEIGNÉS, PÉTONCLES OU VANNEAUX, ET AUTRES COQUILLAGES DES GENRES 'PECTEN', 'CHLAMYS' OU 'PLACOPECTEN', MÊME SÉPARÉS DE LEUR COQUILLE, VIVANTS, FRAIS OU RÉFRIGÉRÉS</v>
      </c>
      <c r="C3788">
        <v>653337</v>
      </c>
      <c r="D3788">
        <v>300</v>
      </c>
    </row>
    <row r="3789" spans="1:4" x14ac:dyDescent="0.25">
      <c r="A3789" t="str">
        <f>T("   030739")</f>
        <v xml:space="preserve">   030739</v>
      </c>
      <c r="B3789" t="str">
        <f>T("   Moules [Mytilus spp., Perna spp.], même séparées de leur coquille, congelées, séchées, salées ou en saumure")</f>
        <v xml:space="preserve">   Moules [Mytilus spp., Perna spp.], même séparées de leur coquille, congelées, séchées, salées ou en saumure</v>
      </c>
      <c r="C3789">
        <v>2369983</v>
      </c>
      <c r="D3789">
        <v>3529</v>
      </c>
    </row>
    <row r="3790" spans="1:4" x14ac:dyDescent="0.25">
      <c r="A3790" t="str">
        <f>T("   030799")</f>
        <v xml:space="preserve">   030799</v>
      </c>
      <c r="B3790" t="s">
        <v>18</v>
      </c>
      <c r="C3790">
        <v>194820</v>
      </c>
      <c r="D3790">
        <v>196</v>
      </c>
    </row>
    <row r="3791" spans="1:4" x14ac:dyDescent="0.25">
      <c r="A3791" t="str">
        <f>T("   040110")</f>
        <v xml:space="preserve">   040110</v>
      </c>
      <c r="B3791"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791">
        <v>10381877</v>
      </c>
      <c r="D3791">
        <v>11017</v>
      </c>
    </row>
    <row r="3792" spans="1:4" x14ac:dyDescent="0.25">
      <c r="A3792" t="str">
        <f>T("   040120")</f>
        <v xml:space="preserve">   040120</v>
      </c>
      <c r="B3792"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3792">
        <v>171282358</v>
      </c>
      <c r="D3792">
        <v>389035</v>
      </c>
    </row>
    <row r="3793" spans="1:4" x14ac:dyDescent="0.25">
      <c r="A3793" t="str">
        <f>T("   040130")</f>
        <v xml:space="preserve">   040130</v>
      </c>
      <c r="B3793" t="str">
        <f>T("   LAIT ET CRÈME DE LAIT, NON-CONCENTRÉS NI ADDITIONNÉS DE SUCRE OU D'AUTRES ÉDULCORANTS, D'UNE TENEUR EN POIDS DE MATIÈRES GRASSES &gt; 6%")</f>
        <v xml:space="preserve">   LAIT ET CRÈME DE LAIT, NON-CONCENTRÉS NI ADDITIONNÉS DE SUCRE OU D'AUTRES ÉDULCORANTS, D'UNE TENEUR EN POIDS DE MATIÈRES GRASSES &gt; 6%</v>
      </c>
      <c r="C3793">
        <v>92515792</v>
      </c>
      <c r="D3793">
        <v>223105</v>
      </c>
    </row>
    <row r="3794" spans="1:4" x14ac:dyDescent="0.25">
      <c r="A3794" t="str">
        <f>T("   040210")</f>
        <v xml:space="preserve">   040210</v>
      </c>
      <c r="B3794"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3794">
        <v>161419182</v>
      </c>
      <c r="D3794">
        <v>68898</v>
      </c>
    </row>
    <row r="3795" spans="1:4" x14ac:dyDescent="0.25">
      <c r="A3795" t="str">
        <f>T("   040221")</f>
        <v xml:space="preserve">   040221</v>
      </c>
      <c r="B3795"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3795">
        <v>128312224</v>
      </c>
      <c r="D3795">
        <v>60125</v>
      </c>
    </row>
    <row r="3796" spans="1:4" x14ac:dyDescent="0.25">
      <c r="A3796" t="str">
        <f>T("   040229")</f>
        <v xml:space="preserve">   040229</v>
      </c>
      <c r="B3796"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3796">
        <v>569879</v>
      </c>
      <c r="D3796">
        <v>934</v>
      </c>
    </row>
    <row r="3797" spans="1:4" x14ac:dyDescent="0.25">
      <c r="A3797" t="str">
        <f>T("   040299")</f>
        <v xml:space="preserve">   040299</v>
      </c>
      <c r="B3797"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3797">
        <v>54236673</v>
      </c>
      <c r="D3797">
        <v>56445</v>
      </c>
    </row>
    <row r="3798" spans="1:4" x14ac:dyDescent="0.25">
      <c r="A3798" t="str">
        <f>T("   040310")</f>
        <v xml:space="preserve">   040310</v>
      </c>
      <c r="B3798" t="str">
        <f>T("   Yoghourts, même additionnés de sucre ou d'autres édulcorants ou aromatisés ou additionnés de fruits ou de cacao")</f>
        <v xml:space="preserve">   Yoghourts, même additionnés de sucre ou d'autres édulcorants ou aromatisés ou additionnés de fruits ou de cacao</v>
      </c>
      <c r="C3798">
        <v>84027208</v>
      </c>
      <c r="D3798">
        <v>137757</v>
      </c>
    </row>
    <row r="3799" spans="1:4" x14ac:dyDescent="0.25">
      <c r="A3799" t="str">
        <f>T("   040390")</f>
        <v xml:space="preserve">   040390</v>
      </c>
      <c r="B3799"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3799">
        <v>9963647</v>
      </c>
      <c r="D3799">
        <v>21326</v>
      </c>
    </row>
    <row r="3800" spans="1:4" x14ac:dyDescent="0.25">
      <c r="A3800" t="str">
        <f>T("   040490")</f>
        <v xml:space="preserve">   040490</v>
      </c>
      <c r="B3800" t="str">
        <f>T("   Produits consistant en composants naturels du lait, même additionnés de sucre ou d'autres édulcorants, n.d.a.")</f>
        <v xml:space="preserve">   Produits consistant en composants naturels du lait, même additionnés de sucre ou d'autres édulcorants, n.d.a.</v>
      </c>
      <c r="C3800">
        <v>9556301</v>
      </c>
      <c r="D3800">
        <v>8835</v>
      </c>
    </row>
    <row r="3801" spans="1:4" x14ac:dyDescent="0.25">
      <c r="A3801" t="str">
        <f>T("   040510")</f>
        <v xml:space="preserve">   040510</v>
      </c>
      <c r="B3801" t="str">
        <f>T("   Beurre (sauf beurre déshydraté et ghee)")</f>
        <v xml:space="preserve">   Beurre (sauf beurre déshydraté et ghee)</v>
      </c>
      <c r="C3801">
        <v>228109821</v>
      </c>
      <c r="D3801">
        <v>297575.87</v>
      </c>
    </row>
    <row r="3802" spans="1:4" x14ac:dyDescent="0.25">
      <c r="A3802" t="str">
        <f>T("   040590")</f>
        <v xml:space="preserve">   040590</v>
      </c>
      <c r="B3802"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3802">
        <v>2695996</v>
      </c>
      <c r="D3802">
        <v>3000</v>
      </c>
    </row>
    <row r="3803" spans="1:4" x14ac:dyDescent="0.25">
      <c r="A3803" t="str">
        <f>T("   040610")</f>
        <v xml:space="preserve">   040610</v>
      </c>
      <c r="B3803"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3803">
        <v>150451</v>
      </c>
      <c r="D3803">
        <v>31</v>
      </c>
    </row>
    <row r="3804" spans="1:4" x14ac:dyDescent="0.25">
      <c r="A3804" t="str">
        <f>T("   040620")</f>
        <v xml:space="preserve">   040620</v>
      </c>
      <c r="B3804" t="str">
        <f>T("   Fromages râpés ou en poudre, de tous types")</f>
        <v xml:space="preserve">   Fromages râpés ou en poudre, de tous types</v>
      </c>
      <c r="C3804">
        <v>49197</v>
      </c>
      <c r="D3804">
        <v>100</v>
      </c>
    </row>
    <row r="3805" spans="1:4" x14ac:dyDescent="0.25">
      <c r="A3805" t="str">
        <f>T("   040630")</f>
        <v xml:space="preserve">   040630</v>
      </c>
      <c r="B3805" t="str">
        <f>T("   Fromages fondus (à l'excl. des fromages râpés ou en poudre)")</f>
        <v xml:space="preserve">   Fromages fondus (à l'excl. des fromages râpés ou en poudre)</v>
      </c>
      <c r="C3805">
        <v>7711001</v>
      </c>
      <c r="D3805">
        <v>11828</v>
      </c>
    </row>
    <row r="3806" spans="1:4" x14ac:dyDescent="0.25">
      <c r="A3806" t="str">
        <f>T("   040640")</f>
        <v xml:space="preserve">   040640</v>
      </c>
      <c r="B3806" t="str">
        <f>T("   FROMAGES À PÂTE PERSILLÉE ET AUTRES FROMAGES PRÉSENTANT DES MARBRURES OBTENUES EN UTILISANT DU 'PENICILLIUM ROQUEFORTI'")</f>
        <v xml:space="preserve">   FROMAGES À PÂTE PERSILLÉE ET AUTRES FROMAGES PRÉSENTANT DES MARBRURES OBTENUES EN UTILISANT DU 'PENICILLIUM ROQUEFORTI'</v>
      </c>
      <c r="C3806">
        <v>886859</v>
      </c>
      <c r="D3806">
        <v>1820</v>
      </c>
    </row>
    <row r="3807" spans="1:4" x14ac:dyDescent="0.25">
      <c r="A3807" t="str">
        <f>T("   040690")</f>
        <v xml:space="preserve">   040690</v>
      </c>
      <c r="B3807" t="s">
        <v>19</v>
      </c>
      <c r="C3807">
        <v>300145485</v>
      </c>
      <c r="D3807">
        <v>319661.49</v>
      </c>
    </row>
    <row r="3808" spans="1:4" x14ac:dyDescent="0.25">
      <c r="A3808" t="str">
        <f>T("   041000")</f>
        <v xml:space="preserve">   041000</v>
      </c>
      <c r="B3808" t="str">
        <f>T("   Oeufs de tortues, nids de salanganes et autres produits comestibles d'origine animale, n.d.a.")</f>
        <v xml:space="preserve">   Oeufs de tortues, nids de salanganes et autres produits comestibles d'origine animale, n.d.a.</v>
      </c>
      <c r="C3808">
        <v>1049538</v>
      </c>
      <c r="D3808">
        <v>97</v>
      </c>
    </row>
    <row r="3809" spans="1:4" x14ac:dyDescent="0.25">
      <c r="A3809" t="str">
        <f>T("   050400")</f>
        <v xml:space="preserve">   050400</v>
      </c>
      <c r="B3809"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809">
        <v>913336680</v>
      </c>
      <c r="D3809">
        <v>759981</v>
      </c>
    </row>
    <row r="3810" spans="1:4" x14ac:dyDescent="0.25">
      <c r="A3810" t="str">
        <f>T("   070190")</f>
        <v xml:space="preserve">   070190</v>
      </c>
      <c r="B3810" t="str">
        <f>T("   Pommes de terre, à l'état frais ou réfrigéré (à l'excl. des pommes de terre de semence)")</f>
        <v xml:space="preserve">   Pommes de terre, à l'état frais ou réfrigéré (à l'excl. des pommes de terre de semence)</v>
      </c>
      <c r="C3810">
        <v>3674852</v>
      </c>
      <c r="D3810">
        <v>4232</v>
      </c>
    </row>
    <row r="3811" spans="1:4" x14ac:dyDescent="0.25">
      <c r="A3811" t="str">
        <f>T("   070200")</f>
        <v xml:space="preserve">   070200</v>
      </c>
      <c r="B3811" t="str">
        <f>T("   Tomates, à l'état frais ou réfrigéré")</f>
        <v xml:space="preserve">   Tomates, à l'état frais ou réfrigéré</v>
      </c>
      <c r="C3811">
        <v>1037512</v>
      </c>
      <c r="D3811">
        <v>697</v>
      </c>
    </row>
    <row r="3812" spans="1:4" x14ac:dyDescent="0.25">
      <c r="A3812" t="str">
        <f>T("   070490")</f>
        <v xml:space="preserve">   070490</v>
      </c>
      <c r="B3812" t="str">
        <f>T("   Choux, choux frisés, choux-raves et produits comestibles simil. du genre 'Brassica', à l'état frais ou réfrigéré (à l'excl. des choux-fleurs, des choux-fleurs brocolis et des choux de Bruxelles)")</f>
        <v xml:space="preserve">   Choux, choux frisés, choux-raves et produits comestibles simil. du genre 'Brassica', à l'état frais ou réfrigéré (à l'excl. des choux-fleurs, des choux-fleurs brocolis et des choux de Bruxelles)</v>
      </c>
      <c r="C3812">
        <v>2633679</v>
      </c>
      <c r="D3812">
        <v>1121</v>
      </c>
    </row>
    <row r="3813" spans="1:4" x14ac:dyDescent="0.25">
      <c r="A3813" t="str">
        <f>T("   070519")</f>
        <v xml:space="preserve">   070519</v>
      </c>
      <c r="B3813" t="str">
        <f>T("   Laitues 'Lactuca sativa', à l'état frais ou réfrigéré (à l'excl. des laitues pommées)")</f>
        <v xml:space="preserve">   Laitues 'Lactuca sativa', à l'état frais ou réfrigéré (à l'excl. des laitues pommées)</v>
      </c>
      <c r="C3813">
        <v>2282152</v>
      </c>
      <c r="D3813">
        <v>1416</v>
      </c>
    </row>
    <row r="3814" spans="1:4" x14ac:dyDescent="0.25">
      <c r="A3814" t="str">
        <f>T("   070610")</f>
        <v xml:space="preserve">   070610</v>
      </c>
      <c r="B3814" t="str">
        <f>T("   Carottes et navets, à l'état frais ou réfrigéré")</f>
        <v xml:space="preserve">   Carottes et navets, à l'état frais ou réfrigéré</v>
      </c>
      <c r="C3814">
        <v>4455282</v>
      </c>
      <c r="D3814">
        <v>2079</v>
      </c>
    </row>
    <row r="3815" spans="1:4" x14ac:dyDescent="0.25">
      <c r="A3815" t="str">
        <f>T("   070690")</f>
        <v xml:space="preserve">   070690</v>
      </c>
      <c r="B3815" t="str">
        <f>T("   Betteraves à salade, salsifis, céleris-raves, radis et racines comestibles simil., à l'état frais ou réfrigéré (à l'excl. des carottes et des navets)")</f>
        <v xml:space="preserve">   Betteraves à salade, salsifis, céleris-raves, radis et racines comestibles simil., à l'état frais ou réfrigéré (à l'excl. des carottes et des navets)</v>
      </c>
      <c r="C3815">
        <v>1914092</v>
      </c>
      <c r="D3815">
        <v>315</v>
      </c>
    </row>
    <row r="3816" spans="1:4" x14ac:dyDescent="0.25">
      <c r="A3816" t="str">
        <f>T("   070810")</f>
        <v xml:space="preserve">   070810</v>
      </c>
      <c r="B3816" t="str">
        <f>T("   Pois 'Pisum sativum', écossés ou non, à l'état frais ou réfrigéré")</f>
        <v xml:space="preserve">   Pois 'Pisum sativum', écossés ou non, à l'état frais ou réfrigéré</v>
      </c>
      <c r="C3816">
        <v>4808187</v>
      </c>
      <c r="D3816">
        <v>24685</v>
      </c>
    </row>
    <row r="3817" spans="1:4" x14ac:dyDescent="0.25">
      <c r="A3817" t="str">
        <f>T("   070820")</f>
        <v xml:space="preserve">   070820</v>
      </c>
      <c r="B3817" t="str">
        <f>T("   Haricots 'Vigna spp., Phaseolus spp.', écossés ou non, à l'état frais ou réfrigéré")</f>
        <v xml:space="preserve">   Haricots 'Vigna spp., Phaseolus spp.', écossés ou non, à l'état frais ou réfrigéré</v>
      </c>
      <c r="C3817">
        <v>2898688</v>
      </c>
      <c r="D3817">
        <v>8860</v>
      </c>
    </row>
    <row r="3818" spans="1:4" x14ac:dyDescent="0.25">
      <c r="A3818" t="str">
        <f>T("   070890")</f>
        <v xml:space="preserve">   070890</v>
      </c>
      <c r="B3818" t="str">
        <f>T("   Légumes à cosse, écossés ou non, à l'état frais ou réfrigéré (à l'excl. des pois 'Pisum sativum' et des haricots 'Vigna spp., Phaseolus spp.')")</f>
        <v xml:space="preserve">   Légumes à cosse, écossés ou non, à l'état frais ou réfrigéré (à l'excl. des pois 'Pisum sativum' et des haricots 'Vigna spp., Phaseolus spp.')</v>
      </c>
      <c r="C3818">
        <v>1725017</v>
      </c>
      <c r="D3818">
        <v>1914</v>
      </c>
    </row>
    <row r="3819" spans="1:4" x14ac:dyDescent="0.25">
      <c r="A3819" t="str">
        <f>T("   070960")</f>
        <v xml:space="preserve">   070960</v>
      </c>
      <c r="B3819" t="str">
        <f>T("   Piments du genre 'Capsicum' ou du genre 'Pimenta', à l'état frais ou réfrigéré")</f>
        <v xml:space="preserve">   Piments du genre 'Capsicum' ou du genre 'Pimenta', à l'état frais ou réfrigéré</v>
      </c>
      <c r="C3819">
        <v>612011</v>
      </c>
      <c r="D3819">
        <v>266</v>
      </c>
    </row>
    <row r="3820" spans="1:4" x14ac:dyDescent="0.25">
      <c r="A3820" t="str">
        <f>T("   070990")</f>
        <v xml:space="preserve">   070990</v>
      </c>
      <c r="B3820" t="s">
        <v>20</v>
      </c>
      <c r="C3820">
        <v>8283862</v>
      </c>
      <c r="D3820">
        <v>11912</v>
      </c>
    </row>
    <row r="3821" spans="1:4" x14ac:dyDescent="0.25">
      <c r="A3821" t="str">
        <f>T("   071010")</f>
        <v xml:space="preserve">   071010</v>
      </c>
      <c r="B3821" t="str">
        <f>T("   Pommes de terre, non cuites ou cuites à l'eau ou à la vapeur, congelées")</f>
        <v xml:space="preserve">   Pommes de terre, non cuites ou cuites à l'eau ou à la vapeur, congelées</v>
      </c>
      <c r="C3821">
        <v>16244853</v>
      </c>
      <c r="D3821">
        <v>32634</v>
      </c>
    </row>
    <row r="3822" spans="1:4" x14ac:dyDescent="0.25">
      <c r="A3822" t="str">
        <f>T("   071021")</f>
        <v xml:space="preserve">   071021</v>
      </c>
      <c r="B3822" t="str">
        <f>T("   Pois 'Pisum sativum', écossés ou non, non cuits ou cuits à l'eau ou à la vapeur, congelés")</f>
        <v xml:space="preserve">   Pois 'Pisum sativum', écossés ou non, non cuits ou cuits à l'eau ou à la vapeur, congelés</v>
      </c>
      <c r="C3822">
        <v>781898</v>
      </c>
      <c r="D3822">
        <v>2019</v>
      </c>
    </row>
    <row r="3823" spans="1:4" x14ac:dyDescent="0.25">
      <c r="A3823" t="str">
        <f>T("   071022")</f>
        <v xml:space="preserve">   071022</v>
      </c>
      <c r="B3823" t="str">
        <f>T("   Haricots 'Vigna spp., Phaseolus spp.', écossés ou non, non cuits ou cuits à l'eau ou à la vapeur, congelés")</f>
        <v xml:space="preserve">   Haricots 'Vigna spp., Phaseolus spp.', écossés ou non, non cuits ou cuits à l'eau ou à la vapeur, congelés</v>
      </c>
      <c r="C3823">
        <v>1291284</v>
      </c>
      <c r="D3823">
        <v>2943</v>
      </c>
    </row>
    <row r="3824" spans="1:4" x14ac:dyDescent="0.25">
      <c r="A3824" t="str">
        <f>T("   071029")</f>
        <v xml:space="preserve">   071029</v>
      </c>
      <c r="B3824"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3824">
        <v>1485520</v>
      </c>
      <c r="D3824">
        <v>5258</v>
      </c>
    </row>
    <row r="3825" spans="1:4" x14ac:dyDescent="0.25">
      <c r="A3825" t="str">
        <f>T("   071080")</f>
        <v xml:space="preserve">   071080</v>
      </c>
      <c r="B3825" t="str">
        <f>T("   LÉGUMES, NON-CUITS OU CUITS À L'EAU OU À LA VAPEUR, CONGELÉS (À L'EXCL. DES POMMES DE TERRE, DES LÉGUMES À COSSE, DES ÉPINARDS, DES TÉTRAGONES, DES ARROCHES ET DU MAÏS DOUX)")</f>
        <v xml:space="preserve">   LÉGUMES, NON-CUITS OU CUITS À L'EAU OU À LA VAPEUR, CONGELÉS (À L'EXCL. DES POMMES DE TERRE, DES LÉGUMES À COSSE, DES ÉPINARDS, DES TÉTRAGONES, DES ARROCHES ET DU MAÏS DOUX)</v>
      </c>
      <c r="C3825">
        <v>12479640</v>
      </c>
      <c r="D3825">
        <v>22193</v>
      </c>
    </row>
    <row r="3826" spans="1:4" x14ac:dyDescent="0.25">
      <c r="A3826" t="str">
        <f>T("   071090")</f>
        <v xml:space="preserve">   071090</v>
      </c>
      <c r="B3826" t="str">
        <f>T("   Mélanges de légumes, non cuits ou cuits à l'eau ou à la vapeur, congelés")</f>
        <v xml:space="preserve">   Mélanges de légumes, non cuits ou cuits à l'eau ou à la vapeur, congelés</v>
      </c>
      <c r="C3826">
        <v>14138163</v>
      </c>
      <c r="D3826">
        <v>8182.6</v>
      </c>
    </row>
    <row r="3827" spans="1:4" x14ac:dyDescent="0.25">
      <c r="A3827" t="str">
        <f>T("   071120")</f>
        <v xml:space="preserve">   071120</v>
      </c>
      <c r="B3827"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3827">
        <v>474916</v>
      </c>
      <c r="D3827">
        <v>948</v>
      </c>
    </row>
    <row r="3828" spans="1:4" x14ac:dyDescent="0.25">
      <c r="A3828" t="str">
        <f>T("   071159")</f>
        <v xml:space="preserve">   071159</v>
      </c>
      <c r="B3828" t="s">
        <v>21</v>
      </c>
      <c r="C3828">
        <v>10331029</v>
      </c>
      <c r="D3828">
        <v>14399</v>
      </c>
    </row>
    <row r="3829" spans="1:4" x14ac:dyDescent="0.25">
      <c r="A3829" t="str">
        <f>T("   071239")</f>
        <v xml:space="preserve">   071239</v>
      </c>
      <c r="B3829" t="str">
        <f>T("   Champignons et truffes, séchés, même coupés en morceaux ou en tranches ou bien broyés ou pulvérisés, mais non autrement préparés (à l'excl. des champignons du genre 'Agaricus', des oreilles-de-Judas 'Auricularia spp.' et des trémelles 'Tremella spp.')")</f>
        <v xml:space="preserve">   Champignons et truffes, séchés, même coupés en morceaux ou en tranches ou bien broyés ou pulvérisés, mais non autrement préparés (à l'excl. des champignons du genre 'Agaricus', des oreilles-de-Judas 'Auricularia spp.' et des trémelles 'Tremella spp.')</v>
      </c>
      <c r="C3829">
        <v>2511015</v>
      </c>
      <c r="D3829">
        <v>857</v>
      </c>
    </row>
    <row r="3830" spans="1:4" x14ac:dyDescent="0.25">
      <c r="A3830" t="str">
        <f>T("   071320")</f>
        <v xml:space="preserve">   071320</v>
      </c>
      <c r="B3830" t="str">
        <f>T("   Pois chiches, secs, écossés, même décortiqués ou cassés")</f>
        <v xml:space="preserve">   Pois chiches, secs, écossés, même décortiqués ou cassés</v>
      </c>
      <c r="C3830">
        <v>2948540</v>
      </c>
      <c r="D3830">
        <v>1532</v>
      </c>
    </row>
    <row r="3831" spans="1:4" x14ac:dyDescent="0.25">
      <c r="A3831" t="str">
        <f>T("   071490")</f>
        <v xml:space="preserve">   071490</v>
      </c>
      <c r="B3831" t="s">
        <v>22</v>
      </c>
      <c r="C3831">
        <v>4780958</v>
      </c>
      <c r="D3831">
        <v>15397</v>
      </c>
    </row>
    <row r="3832" spans="1:4" x14ac:dyDescent="0.25">
      <c r="A3832" t="str">
        <f>T("   080212")</f>
        <v xml:space="preserve">   080212</v>
      </c>
      <c r="B3832" t="str">
        <f>T("   Amandes, fraîches ou sèches, sans coques, même décortiquées")</f>
        <v xml:space="preserve">   Amandes, fraîches ou sèches, sans coques, même décortiquées</v>
      </c>
      <c r="C3832">
        <v>488035</v>
      </c>
      <c r="D3832">
        <v>163</v>
      </c>
    </row>
    <row r="3833" spans="1:4" x14ac:dyDescent="0.25">
      <c r="A3833" t="str">
        <f>T("   080290")</f>
        <v xml:space="preserve">   080290</v>
      </c>
      <c r="B3833"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3833">
        <v>1652580</v>
      </c>
      <c r="D3833">
        <v>502</v>
      </c>
    </row>
    <row r="3834" spans="1:4" x14ac:dyDescent="0.25">
      <c r="A3834" t="str">
        <f>T("   080410")</f>
        <v xml:space="preserve">   080410</v>
      </c>
      <c r="B3834" t="str">
        <f>T("   Dattes, fraîches ou sèches")</f>
        <v xml:space="preserve">   Dattes, fraîches ou sèches</v>
      </c>
      <c r="C3834">
        <v>697942</v>
      </c>
      <c r="D3834">
        <v>1330</v>
      </c>
    </row>
    <row r="3835" spans="1:4" x14ac:dyDescent="0.25">
      <c r="A3835" t="str">
        <f>T("   080450")</f>
        <v xml:space="preserve">   080450</v>
      </c>
      <c r="B3835" t="str">
        <f>T("   Goyaves, mangues et mangoustans, frais ou secs")</f>
        <v xml:space="preserve">   Goyaves, mangues et mangoustans, frais ou secs</v>
      </c>
      <c r="C3835">
        <v>3045622</v>
      </c>
      <c r="D3835">
        <v>320</v>
      </c>
    </row>
    <row r="3836" spans="1:4" x14ac:dyDescent="0.25">
      <c r="A3836" t="str">
        <f>T("   080510")</f>
        <v xml:space="preserve">   080510</v>
      </c>
      <c r="B3836" t="str">
        <f>T("   Oranges, fraîches ou sèches")</f>
        <v xml:space="preserve">   Oranges, fraîches ou sèches</v>
      </c>
      <c r="C3836">
        <v>240738</v>
      </c>
      <c r="D3836">
        <v>178</v>
      </c>
    </row>
    <row r="3837" spans="1:4" x14ac:dyDescent="0.25">
      <c r="A3837" t="str">
        <f>T("   080590")</f>
        <v xml:space="preserve">   080590</v>
      </c>
      <c r="B3837" t="s">
        <v>24</v>
      </c>
      <c r="C3837">
        <v>3865573</v>
      </c>
      <c r="D3837">
        <v>1894</v>
      </c>
    </row>
    <row r="3838" spans="1:4" x14ac:dyDescent="0.25">
      <c r="A3838" t="str">
        <f>T("   080610")</f>
        <v xml:space="preserve">   080610</v>
      </c>
      <c r="B3838" t="str">
        <f>T("   Raisins, frais")</f>
        <v xml:space="preserve">   Raisins, frais</v>
      </c>
      <c r="C3838">
        <v>9774671</v>
      </c>
      <c r="D3838">
        <v>23367</v>
      </c>
    </row>
    <row r="3839" spans="1:4" x14ac:dyDescent="0.25">
      <c r="A3839" t="str">
        <f>T("   080620")</f>
        <v xml:space="preserve">   080620</v>
      </c>
      <c r="B3839" t="str">
        <f>T("   Raisins, secs")</f>
        <v xml:space="preserve">   Raisins, secs</v>
      </c>
      <c r="C3839">
        <v>871115</v>
      </c>
      <c r="D3839">
        <v>1570</v>
      </c>
    </row>
    <row r="3840" spans="1:4" x14ac:dyDescent="0.25">
      <c r="A3840" t="str">
        <f>T("   080810")</f>
        <v xml:space="preserve">   080810</v>
      </c>
      <c r="B3840" t="str">
        <f>T("   Pommes, fraîches")</f>
        <v xml:space="preserve">   Pommes, fraîches</v>
      </c>
      <c r="C3840">
        <v>44860453</v>
      </c>
      <c r="D3840">
        <v>84384</v>
      </c>
    </row>
    <row r="3841" spans="1:4" x14ac:dyDescent="0.25">
      <c r="A3841" t="str">
        <f>T("   080920")</f>
        <v xml:space="preserve">   080920</v>
      </c>
      <c r="B3841" t="str">
        <f>T("   Cerises, fraîches")</f>
        <v xml:space="preserve">   Cerises, fraîches</v>
      </c>
      <c r="C3841">
        <v>381395</v>
      </c>
      <c r="D3841">
        <v>270</v>
      </c>
    </row>
    <row r="3842" spans="1:4" x14ac:dyDescent="0.25">
      <c r="A3842" t="str">
        <f>T("   081010")</f>
        <v xml:space="preserve">   081010</v>
      </c>
      <c r="B3842" t="str">
        <f>T("   Fraises, fraîches")</f>
        <v xml:space="preserve">   Fraises, fraîches</v>
      </c>
      <c r="C3842">
        <v>100939</v>
      </c>
      <c r="D3842">
        <v>72</v>
      </c>
    </row>
    <row r="3843" spans="1:4" x14ac:dyDescent="0.25">
      <c r="A3843" t="str">
        <f>T("   081050")</f>
        <v xml:space="preserve">   081050</v>
      </c>
      <c r="B3843" t="str">
        <f>T("   Kiwis, frais")</f>
        <v xml:space="preserve">   Kiwis, frais</v>
      </c>
      <c r="C3843">
        <v>1573649</v>
      </c>
      <c r="D3843">
        <v>590</v>
      </c>
    </row>
    <row r="3844" spans="1:4" x14ac:dyDescent="0.25">
      <c r="A3844" t="str">
        <f>T("   081090")</f>
        <v xml:space="preserve">   081090</v>
      </c>
      <c r="B3844" t="s">
        <v>25</v>
      </c>
      <c r="C3844">
        <v>3341737</v>
      </c>
      <c r="D3844">
        <v>3067</v>
      </c>
    </row>
    <row r="3845" spans="1:4" x14ac:dyDescent="0.25">
      <c r="A3845" t="str">
        <f>T("   081190")</f>
        <v xml:space="preserve">   081190</v>
      </c>
      <c r="B3845" t="s">
        <v>26</v>
      </c>
      <c r="C3845">
        <v>1400475</v>
      </c>
      <c r="D3845">
        <v>643</v>
      </c>
    </row>
    <row r="3846" spans="1:4" x14ac:dyDescent="0.25">
      <c r="A3846" t="str">
        <f>T("   081320")</f>
        <v xml:space="preserve">   081320</v>
      </c>
      <c r="B3846" t="str">
        <f>T("   Pruneaux, séchés")</f>
        <v xml:space="preserve">   Pruneaux, séchés</v>
      </c>
      <c r="C3846">
        <v>2785206</v>
      </c>
      <c r="D3846">
        <v>3470</v>
      </c>
    </row>
    <row r="3847" spans="1:4" x14ac:dyDescent="0.25">
      <c r="A3847" t="str">
        <f>T("   090111")</f>
        <v xml:space="preserve">   090111</v>
      </c>
      <c r="B3847" t="str">
        <f>T("   Café, non torréfié, non décaféiné")</f>
        <v xml:space="preserve">   Café, non torréfié, non décaféiné</v>
      </c>
      <c r="C3847">
        <v>992330</v>
      </c>
      <c r="D3847">
        <v>902</v>
      </c>
    </row>
    <row r="3848" spans="1:4" x14ac:dyDescent="0.25">
      <c r="A3848" t="str">
        <f>T("   090121")</f>
        <v xml:space="preserve">   090121</v>
      </c>
      <c r="B3848" t="str">
        <f>T("   Café, torréfié, non décaféiné")</f>
        <v xml:space="preserve">   Café, torréfié, non décaféiné</v>
      </c>
      <c r="C3848">
        <v>9155891</v>
      </c>
      <c r="D3848">
        <v>8066</v>
      </c>
    </row>
    <row r="3849" spans="1:4" x14ac:dyDescent="0.25">
      <c r="A3849" t="str">
        <f>T("   090122")</f>
        <v xml:space="preserve">   090122</v>
      </c>
      <c r="B3849" t="str">
        <f>T("   Café, torréfié, décaféiné")</f>
        <v xml:space="preserve">   Café, torréfié, décaféiné</v>
      </c>
      <c r="C3849">
        <v>515585</v>
      </c>
      <c r="D3849">
        <v>278</v>
      </c>
    </row>
    <row r="3850" spans="1:4" x14ac:dyDescent="0.25">
      <c r="A3850" t="str">
        <f>T("   090190")</f>
        <v xml:space="preserve">   090190</v>
      </c>
      <c r="B3850" t="str">
        <f>T("   Coques et pellicules de café; succédanés du café contenant du café, quelles que soient les proportions du mélange")</f>
        <v xml:space="preserve">   Coques et pellicules de café; succédanés du café contenant du café, quelles que soient les proportions du mélange</v>
      </c>
      <c r="C3850">
        <v>9898219</v>
      </c>
      <c r="D3850">
        <v>5007</v>
      </c>
    </row>
    <row r="3851" spans="1:4" x14ac:dyDescent="0.25">
      <c r="A3851" t="str">
        <f>T("   090210")</f>
        <v xml:space="preserve">   090210</v>
      </c>
      <c r="B3851" t="str">
        <f>T("   Thé vert [thé non fermenté], présenté en emballages immédiats d'un contenu &lt;= 3 kg")</f>
        <v xml:space="preserve">   Thé vert [thé non fermenté], présenté en emballages immédiats d'un contenu &lt;= 3 kg</v>
      </c>
      <c r="C3851">
        <v>4622334</v>
      </c>
      <c r="D3851">
        <v>3414.6</v>
      </c>
    </row>
    <row r="3852" spans="1:4" x14ac:dyDescent="0.25">
      <c r="A3852" t="str">
        <f>T("   090220")</f>
        <v xml:space="preserve">   090220</v>
      </c>
      <c r="B3852" t="str">
        <f>T("   Thé vert [thé non fermenté], présenté en emballages immédiats d'un contenu &gt; 3 kg")</f>
        <v xml:space="preserve">   Thé vert [thé non fermenté], présenté en emballages immédiats d'un contenu &gt; 3 kg</v>
      </c>
      <c r="C3852">
        <v>26403714</v>
      </c>
      <c r="D3852">
        <v>28486</v>
      </c>
    </row>
    <row r="3853" spans="1:4" x14ac:dyDescent="0.25">
      <c r="A3853" t="str">
        <f>T("   090230")</f>
        <v xml:space="preserve">   090230</v>
      </c>
      <c r="B3853" t="s">
        <v>27</v>
      </c>
      <c r="C3853">
        <v>16027974</v>
      </c>
      <c r="D3853">
        <v>4969.2</v>
      </c>
    </row>
    <row r="3854" spans="1:4" x14ac:dyDescent="0.25">
      <c r="A3854" t="str">
        <f>T("   090412")</f>
        <v xml:space="preserve">   090412</v>
      </c>
      <c r="B3854" t="str">
        <f>T("   Poivre du genre 'Piper', broyé ou pulvérisé")</f>
        <v xml:space="preserve">   Poivre du genre 'Piper', broyé ou pulvérisé</v>
      </c>
      <c r="C3854">
        <v>7786002</v>
      </c>
      <c r="D3854">
        <v>10498</v>
      </c>
    </row>
    <row r="3855" spans="1:4" x14ac:dyDescent="0.25">
      <c r="A3855" t="str">
        <f>T("   090500")</f>
        <v xml:space="preserve">   090500</v>
      </c>
      <c r="B3855" t="str">
        <f>T("   Vanille")</f>
        <v xml:space="preserve">   Vanille</v>
      </c>
      <c r="C3855">
        <v>1810450</v>
      </c>
      <c r="D3855">
        <v>2400</v>
      </c>
    </row>
    <row r="3856" spans="1:4" x14ac:dyDescent="0.25">
      <c r="A3856" t="str">
        <f>T("   090910")</f>
        <v xml:space="preserve">   090910</v>
      </c>
      <c r="B3856" t="str">
        <f>T("   Graines d'anis ou de badiane")</f>
        <v xml:space="preserve">   Graines d'anis ou de badiane</v>
      </c>
      <c r="C3856">
        <v>137752</v>
      </c>
      <c r="D3856">
        <v>5</v>
      </c>
    </row>
    <row r="3857" spans="1:4" x14ac:dyDescent="0.25">
      <c r="A3857" t="str">
        <f>T("   091099")</f>
        <v xml:space="preserve">   091099</v>
      </c>
      <c r="B3857" t="s">
        <v>29</v>
      </c>
      <c r="C3857">
        <v>15815195</v>
      </c>
      <c r="D3857">
        <v>5980</v>
      </c>
    </row>
    <row r="3858" spans="1:4" x14ac:dyDescent="0.25">
      <c r="A3858" t="str">
        <f>T("   100110")</f>
        <v xml:space="preserve">   100110</v>
      </c>
      <c r="B3858" t="str">
        <f>T("   Froment [blé] dur")</f>
        <v xml:space="preserve">   Froment [blé] dur</v>
      </c>
      <c r="C3858">
        <v>4209936193</v>
      </c>
      <c r="D3858">
        <v>21420000</v>
      </c>
    </row>
    <row r="3859" spans="1:4" x14ac:dyDescent="0.25">
      <c r="A3859" t="str">
        <f>T("   100190")</f>
        <v xml:space="preserve">   100190</v>
      </c>
      <c r="B3859" t="str">
        <f>T("   Froment [blé] et méteil (à l'excl. du froment [blé] dur)")</f>
        <v xml:space="preserve">   Froment [blé] et méteil (à l'excl. du froment [blé] dur)</v>
      </c>
      <c r="C3859">
        <v>97259</v>
      </c>
      <c r="D3859">
        <v>256</v>
      </c>
    </row>
    <row r="3860" spans="1:4" x14ac:dyDescent="0.25">
      <c r="A3860" t="str">
        <f>T("   100610")</f>
        <v xml:space="preserve">   100610</v>
      </c>
      <c r="B3860" t="str">
        <f>T("   Riz en paille [riz paddy]")</f>
        <v xml:space="preserve">   Riz en paille [riz paddy]</v>
      </c>
      <c r="C3860">
        <v>1410970</v>
      </c>
      <c r="D3860">
        <v>911</v>
      </c>
    </row>
    <row r="3861" spans="1:4" x14ac:dyDescent="0.25">
      <c r="A3861" t="str">
        <f>T("   100630")</f>
        <v xml:space="preserve">   100630</v>
      </c>
      <c r="B3861" t="str">
        <f>T("   Riz semi-blanchi ou blanchi, même poli ou glacé")</f>
        <v xml:space="preserve">   Riz semi-blanchi ou blanchi, même poli ou glacé</v>
      </c>
      <c r="C3861">
        <v>185499588.90200001</v>
      </c>
      <c r="D3861">
        <v>650163</v>
      </c>
    </row>
    <row r="3862" spans="1:4" x14ac:dyDescent="0.25">
      <c r="A3862" t="str">
        <f>T("   100890")</f>
        <v xml:space="preserve">   100890</v>
      </c>
      <c r="B3862"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3862">
        <v>1515330</v>
      </c>
      <c r="D3862">
        <v>2581</v>
      </c>
    </row>
    <row r="3863" spans="1:4" x14ac:dyDescent="0.25">
      <c r="A3863" t="str">
        <f>T("   110100")</f>
        <v xml:space="preserve">   110100</v>
      </c>
      <c r="B3863" t="str">
        <f>T("   Farines de froment [blé] ou de méteil")</f>
        <v xml:space="preserve">   Farines de froment [blé] ou de méteil</v>
      </c>
      <c r="C3863">
        <v>8061200670.0220003</v>
      </c>
      <c r="D3863">
        <v>29882030</v>
      </c>
    </row>
    <row r="3864" spans="1:4" x14ac:dyDescent="0.25">
      <c r="A3864" t="str">
        <f>T("   110290")</f>
        <v xml:space="preserve">   110290</v>
      </c>
      <c r="B3864" t="str">
        <f>T("   FARINES DE CÉRÉALES (À L'EXCL. DES FARINES DE FROMENT [BLÉ], DE MÉTEIL, DE SEIGLE ET DE MAÏS)")</f>
        <v xml:space="preserve">   FARINES DE CÉRÉALES (À L'EXCL. DES FARINES DE FROMENT [BLÉ], DE MÉTEIL, DE SEIGLE ET DE MAÏS)</v>
      </c>
      <c r="C3864">
        <v>66521</v>
      </c>
      <c r="D3864">
        <v>120</v>
      </c>
    </row>
    <row r="3865" spans="1:4" x14ac:dyDescent="0.25">
      <c r="A3865" t="str">
        <f>T("   110311")</f>
        <v xml:space="preserve">   110311</v>
      </c>
      <c r="B3865" t="str">
        <f>T("   Gruaux et semoules de froment [blé]")</f>
        <v xml:space="preserve">   Gruaux et semoules de froment [blé]</v>
      </c>
      <c r="C3865">
        <v>2774715973</v>
      </c>
      <c r="D3865">
        <v>9226378</v>
      </c>
    </row>
    <row r="3866" spans="1:4" x14ac:dyDescent="0.25">
      <c r="A3866" t="str">
        <f>T("   110412")</f>
        <v xml:space="preserve">   110412</v>
      </c>
      <c r="B3866" t="str">
        <f>T("   Grains d'avoine, aplatis ou en flocons")</f>
        <v xml:space="preserve">   Grains d'avoine, aplatis ou en flocons</v>
      </c>
      <c r="C3866">
        <v>7733112</v>
      </c>
      <c r="D3866">
        <v>21996</v>
      </c>
    </row>
    <row r="3867" spans="1:4" x14ac:dyDescent="0.25">
      <c r="A3867" t="str">
        <f>T("   110422")</f>
        <v xml:space="preserve">   110422</v>
      </c>
      <c r="B3867" t="str">
        <f>T("   Grains d'avoine, mondés, perlés, tranchés, concassés ou autrement travaillés (à l'excl. de la farine d'avoine)")</f>
        <v xml:space="preserve">   Grains d'avoine, mondés, perlés, tranchés, concassés ou autrement travaillés (à l'excl. de la farine d'avoine)</v>
      </c>
      <c r="C3867">
        <v>1932458</v>
      </c>
      <c r="D3867">
        <v>8264</v>
      </c>
    </row>
    <row r="3868" spans="1:4" x14ac:dyDescent="0.25">
      <c r="A3868" t="str">
        <f>T("   110510")</f>
        <v xml:space="preserve">   110510</v>
      </c>
      <c r="B3868" t="str">
        <f>T("   Farine, semoule et poudre de pommes de terre")</f>
        <v xml:space="preserve">   Farine, semoule et poudre de pommes de terre</v>
      </c>
      <c r="C3868">
        <v>4259150</v>
      </c>
      <c r="D3868">
        <v>8554</v>
      </c>
    </row>
    <row r="3869" spans="1:4" x14ac:dyDescent="0.25">
      <c r="A3869" t="str">
        <f>T("   110520")</f>
        <v xml:space="preserve">   110520</v>
      </c>
      <c r="B3869" t="str">
        <f>T("   Flocons, granulés et agglomérés sous forme de pellets, de pommes de terre")</f>
        <v xml:space="preserve">   Flocons, granulés et agglomérés sous forme de pellets, de pommes de terre</v>
      </c>
      <c r="C3869">
        <v>32797</v>
      </c>
      <c r="D3869">
        <v>123</v>
      </c>
    </row>
    <row r="3870" spans="1:4" x14ac:dyDescent="0.25">
      <c r="A3870" t="str">
        <f>T("   110710")</f>
        <v xml:space="preserve">   110710</v>
      </c>
      <c r="B3870" t="str">
        <f>T("   MALT, NON-TORRÉFIÉ")</f>
        <v xml:space="preserve">   MALT, NON-TORRÉFIÉ</v>
      </c>
      <c r="C3870">
        <v>1169219885</v>
      </c>
      <c r="D3870">
        <v>2725920</v>
      </c>
    </row>
    <row r="3871" spans="1:4" x14ac:dyDescent="0.25">
      <c r="A3871" t="str">
        <f>T("   110720")</f>
        <v xml:space="preserve">   110720</v>
      </c>
      <c r="B3871" t="str">
        <f>T("   Malt, torréfié")</f>
        <v xml:space="preserve">   Malt, torréfié</v>
      </c>
      <c r="C3871">
        <v>21178986</v>
      </c>
      <c r="D3871">
        <v>24192</v>
      </c>
    </row>
    <row r="3872" spans="1:4" x14ac:dyDescent="0.25">
      <c r="A3872" t="str">
        <f>T("   110812")</f>
        <v xml:space="preserve">   110812</v>
      </c>
      <c r="B3872" t="str">
        <f>T("   Amidon de maïs")</f>
        <v xml:space="preserve">   Amidon de maïs</v>
      </c>
      <c r="C3872">
        <v>619139</v>
      </c>
      <c r="D3872">
        <v>960</v>
      </c>
    </row>
    <row r="3873" spans="1:4" x14ac:dyDescent="0.25">
      <c r="A3873" t="str">
        <f>T("   110900")</f>
        <v xml:space="preserve">   110900</v>
      </c>
      <c r="B3873" t="str">
        <f>T("   Gluten de froment [blé], même à l'état sec")</f>
        <v xml:space="preserve">   Gluten de froment [blé], même à l'état sec</v>
      </c>
      <c r="C3873">
        <v>163505</v>
      </c>
      <c r="D3873">
        <v>40</v>
      </c>
    </row>
    <row r="3874" spans="1:4" x14ac:dyDescent="0.25">
      <c r="A3874" t="str">
        <f>T("   120210")</f>
        <v xml:space="preserve">   120210</v>
      </c>
      <c r="B3874" t="str">
        <f>T("   ARACHIDES, EN COQUES, NON-GRILLÉES NI AUTREMENT CUITES")</f>
        <v xml:space="preserve">   ARACHIDES, EN COQUES, NON-GRILLÉES NI AUTREMENT CUITES</v>
      </c>
      <c r="C3874">
        <v>81995</v>
      </c>
      <c r="D3874">
        <v>8</v>
      </c>
    </row>
    <row r="3875" spans="1:4" x14ac:dyDescent="0.25">
      <c r="A3875" t="str">
        <f>T("   120600")</f>
        <v xml:space="preserve">   120600</v>
      </c>
      <c r="B3875" t="str">
        <f>T("   Graines de tournesol, même concassées")</f>
        <v xml:space="preserve">   Graines de tournesol, même concassées</v>
      </c>
      <c r="C3875">
        <v>2667133</v>
      </c>
      <c r="D3875">
        <v>1386</v>
      </c>
    </row>
    <row r="3876" spans="1:4" x14ac:dyDescent="0.25">
      <c r="A3876" t="str">
        <f>T("   120799")</f>
        <v xml:space="preserve">   120799</v>
      </c>
      <c r="B3876" t="s">
        <v>30</v>
      </c>
      <c r="C3876">
        <v>600204</v>
      </c>
      <c r="D3876">
        <v>27</v>
      </c>
    </row>
    <row r="3877" spans="1:4" x14ac:dyDescent="0.25">
      <c r="A3877" t="str">
        <f>T("   120929")</f>
        <v xml:space="preserve">   120929</v>
      </c>
      <c r="B3877" t="s">
        <v>31</v>
      </c>
      <c r="C3877">
        <v>226306</v>
      </c>
      <c r="D3877">
        <v>317</v>
      </c>
    </row>
    <row r="3878" spans="1:4" x14ac:dyDescent="0.25">
      <c r="A3878" t="str">
        <f>T("   120930")</f>
        <v xml:space="preserve">   120930</v>
      </c>
      <c r="B3878" t="str">
        <f>T("   Graines de plantes herbacées utilisées principalement pour leurs fleurs, à ensemencer")</f>
        <v xml:space="preserve">   Graines de plantes herbacées utilisées principalement pour leurs fleurs, à ensemencer</v>
      </c>
      <c r="C3878">
        <v>5730</v>
      </c>
      <c r="D3878">
        <v>22</v>
      </c>
    </row>
    <row r="3879" spans="1:4" x14ac:dyDescent="0.25">
      <c r="A3879" t="str">
        <f>T("   120999")</f>
        <v xml:space="preserve">   120999</v>
      </c>
      <c r="B3879" t="s">
        <v>32</v>
      </c>
      <c r="C3879">
        <v>61719396</v>
      </c>
      <c r="D3879">
        <v>4539</v>
      </c>
    </row>
    <row r="3880" spans="1:4" x14ac:dyDescent="0.25">
      <c r="A3880" t="str">
        <f>T("   121190")</f>
        <v xml:space="preserve">   121190</v>
      </c>
      <c r="B3880" t="s">
        <v>33</v>
      </c>
      <c r="C3880">
        <v>16756669</v>
      </c>
      <c r="D3880">
        <v>1313.8</v>
      </c>
    </row>
    <row r="3881" spans="1:4" x14ac:dyDescent="0.25">
      <c r="A3881" t="str">
        <f>T("   121490")</f>
        <v xml:space="preserve">   121490</v>
      </c>
      <c r="B3881" t="s">
        <v>34</v>
      </c>
      <c r="C3881">
        <v>198572</v>
      </c>
      <c r="D3881">
        <v>650</v>
      </c>
    </row>
    <row r="3882" spans="1:4" x14ac:dyDescent="0.25">
      <c r="A3882" t="str">
        <f>T("   130213")</f>
        <v xml:space="preserve">   130213</v>
      </c>
      <c r="B3882" t="str">
        <f>T("   Extraits de houblon")</f>
        <v xml:space="preserve">   Extraits de houblon</v>
      </c>
      <c r="C3882">
        <v>381071434</v>
      </c>
      <c r="D3882">
        <v>22172</v>
      </c>
    </row>
    <row r="3883" spans="1:4" x14ac:dyDescent="0.25">
      <c r="A3883" t="str">
        <f>T("   130231")</f>
        <v xml:space="preserve">   130231</v>
      </c>
      <c r="B3883" t="str">
        <f>T("   Agar-agar, même modifié")</f>
        <v xml:space="preserve">   Agar-agar, même modifié</v>
      </c>
      <c r="C3883">
        <v>2101040</v>
      </c>
      <c r="D3883">
        <v>19</v>
      </c>
    </row>
    <row r="3884" spans="1:4" x14ac:dyDescent="0.25">
      <c r="A3884" t="str">
        <f>T("   140490")</f>
        <v xml:space="preserve">   140490</v>
      </c>
      <c r="B3884" t="str">
        <f>T("   Produits végétaux, n.d.a.")</f>
        <v xml:space="preserve">   Produits végétaux, n.d.a.</v>
      </c>
      <c r="C3884">
        <v>398824</v>
      </c>
      <c r="D3884">
        <v>108</v>
      </c>
    </row>
    <row r="3885" spans="1:4" x14ac:dyDescent="0.25">
      <c r="A3885" t="str">
        <f>T("   150410")</f>
        <v xml:space="preserve">   150410</v>
      </c>
      <c r="B3885" t="str">
        <f>T("   Huiles de foies de poissons et leurs fractions, même raffinées, mais non chimiquement modifiées")</f>
        <v xml:space="preserve">   Huiles de foies de poissons et leurs fractions, même raffinées, mais non chimiquement modifiées</v>
      </c>
      <c r="C3885">
        <v>827828</v>
      </c>
      <c r="D3885">
        <v>209</v>
      </c>
    </row>
    <row r="3886" spans="1:4" x14ac:dyDescent="0.25">
      <c r="A3886" t="str">
        <f>T("   150910")</f>
        <v xml:space="preserve">   150910</v>
      </c>
      <c r="B3886"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3886">
        <v>1537374</v>
      </c>
      <c r="D3886">
        <v>3280</v>
      </c>
    </row>
    <row r="3887" spans="1:4" x14ac:dyDescent="0.25">
      <c r="A3887" t="str">
        <f>T("   150990")</f>
        <v xml:space="preserve">   150990</v>
      </c>
      <c r="B3887"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887">
        <v>15648682</v>
      </c>
      <c r="D3887">
        <v>22382</v>
      </c>
    </row>
    <row r="3888" spans="1:4" x14ac:dyDescent="0.25">
      <c r="A3888" t="str">
        <f>T("   151190")</f>
        <v xml:space="preserve">   151190</v>
      </c>
      <c r="B3888" t="str">
        <f>T("   Huile de palme et ses fractions, même raffinées, mais non chimiquement modifiées (à l'excl. de l'huile de palme brute)")</f>
        <v xml:space="preserve">   Huile de palme et ses fractions, même raffinées, mais non chimiquement modifiées (à l'excl. de l'huile de palme brute)</v>
      </c>
      <c r="C3888">
        <v>390798.59</v>
      </c>
      <c r="D3888">
        <v>1053</v>
      </c>
    </row>
    <row r="3889" spans="1:4" x14ac:dyDescent="0.25">
      <c r="A3889" t="str">
        <f>T("   151229")</f>
        <v xml:space="preserve">   151229</v>
      </c>
      <c r="B3889"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3889">
        <v>1526417</v>
      </c>
      <c r="D3889">
        <v>1376</v>
      </c>
    </row>
    <row r="3890" spans="1:4" x14ac:dyDescent="0.25">
      <c r="A3890" t="str">
        <f>T("   151419")</f>
        <v xml:space="preserve">   151419</v>
      </c>
      <c r="B3890" t="s">
        <v>36</v>
      </c>
      <c r="C3890">
        <v>556500</v>
      </c>
      <c r="D3890">
        <v>2226</v>
      </c>
    </row>
    <row r="3891" spans="1:4" x14ac:dyDescent="0.25">
      <c r="A3891" t="str">
        <f>T("   151590")</f>
        <v xml:space="preserve">   151590</v>
      </c>
      <c r="B3891" t="s">
        <v>37</v>
      </c>
      <c r="C3891">
        <v>229250</v>
      </c>
      <c r="D3891">
        <v>917</v>
      </c>
    </row>
    <row r="3892" spans="1:4" x14ac:dyDescent="0.25">
      <c r="A3892" t="str">
        <f>T("   151620")</f>
        <v xml:space="preserve">   151620</v>
      </c>
      <c r="B389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892">
        <v>207781647</v>
      </c>
      <c r="D3892">
        <v>681307</v>
      </c>
    </row>
    <row r="3893" spans="1:4" x14ac:dyDescent="0.25">
      <c r="A3893" t="str">
        <f>T("   151710")</f>
        <v xml:space="preserve">   151710</v>
      </c>
      <c r="B3893" t="str">
        <f>T("   Margarine (à l'excl. de la margarine liquide)")</f>
        <v xml:space="preserve">   Margarine (à l'excl. de la margarine liquide)</v>
      </c>
      <c r="C3893">
        <v>83764734</v>
      </c>
      <c r="D3893">
        <v>187510</v>
      </c>
    </row>
    <row r="3894" spans="1:4" x14ac:dyDescent="0.25">
      <c r="A3894" t="str">
        <f>T("   160100")</f>
        <v xml:space="preserve">   160100</v>
      </c>
      <c r="B3894" t="str">
        <f>T("   Saucisses, saucissons et produits simil., de viande, d'abats ou de sang; préparations alimentaires à base de ces produits")</f>
        <v xml:space="preserve">   Saucisses, saucissons et produits simil., de viande, d'abats ou de sang; préparations alimentaires à base de ces produits</v>
      </c>
      <c r="C3894">
        <v>785548902</v>
      </c>
      <c r="D3894">
        <v>1006432.12</v>
      </c>
    </row>
    <row r="3895" spans="1:4" x14ac:dyDescent="0.25">
      <c r="A3895" t="str">
        <f>T("   160210")</f>
        <v xml:space="preserve">   160210</v>
      </c>
      <c r="B3895" t="str">
        <f>T("   Préparations finement homogénéisées, de viande, d'abats ou de sang, conditionnées pour la vente au détail comme aliments pour enfants ou pour usages diététiques, en récipients d'un contenu &lt;= 250 g")</f>
        <v xml:space="preserve">   Préparations finement homogénéisées, de viande, d'abats ou de sang, conditionnées pour la vente au détail comme aliments pour enfants ou pour usages diététiques, en récipients d'un contenu &lt;= 250 g</v>
      </c>
      <c r="C3895">
        <v>140500</v>
      </c>
      <c r="D3895">
        <v>488</v>
      </c>
    </row>
    <row r="3896" spans="1:4" x14ac:dyDescent="0.25">
      <c r="A3896" t="str">
        <f>T("   160231")</f>
        <v xml:space="preserve">   160231</v>
      </c>
      <c r="B3896" t="s">
        <v>39</v>
      </c>
      <c r="C3896">
        <v>3839334</v>
      </c>
      <c r="D3896">
        <v>5139</v>
      </c>
    </row>
    <row r="3897" spans="1:4" x14ac:dyDescent="0.25">
      <c r="A3897" t="str">
        <f>T("   160232")</f>
        <v xml:space="preserve">   160232</v>
      </c>
      <c r="B3897" t="s">
        <v>40</v>
      </c>
      <c r="C3897">
        <v>96748098</v>
      </c>
      <c r="D3897">
        <v>129525</v>
      </c>
    </row>
    <row r="3898" spans="1:4" x14ac:dyDescent="0.25">
      <c r="A3898" t="str">
        <f>T("   160239")</f>
        <v xml:space="preserve">   160239</v>
      </c>
      <c r="B3898" t="s">
        <v>41</v>
      </c>
      <c r="C3898">
        <v>16510896</v>
      </c>
      <c r="D3898">
        <v>13125</v>
      </c>
    </row>
    <row r="3899" spans="1:4" x14ac:dyDescent="0.25">
      <c r="A3899" t="str">
        <f>T("   160241")</f>
        <v xml:space="preserve">   160241</v>
      </c>
      <c r="B3899" t="str">
        <f>T("   Préparations et conserves de jambons et de morceaux de jambons des animaux de l'espèce porcine")</f>
        <v xml:space="preserve">   Préparations et conserves de jambons et de morceaux de jambons des animaux de l'espèce porcine</v>
      </c>
      <c r="C3899">
        <v>48334334</v>
      </c>
      <c r="D3899">
        <v>70137</v>
      </c>
    </row>
    <row r="3900" spans="1:4" x14ac:dyDescent="0.25">
      <c r="A3900" t="str">
        <f>T("   160242")</f>
        <v xml:space="preserve">   160242</v>
      </c>
      <c r="B3900" t="str">
        <f>T("   Préparations et conserves d'épaules et de morceaux d'épaules des animaux de l'espèce porcine")</f>
        <v xml:space="preserve">   Préparations et conserves d'épaules et de morceaux d'épaules des animaux de l'espèce porcine</v>
      </c>
      <c r="C3900">
        <v>10366136</v>
      </c>
      <c r="D3900">
        <v>14415</v>
      </c>
    </row>
    <row r="3901" spans="1:4" x14ac:dyDescent="0.25">
      <c r="A3901" t="str">
        <f>T("   160249")</f>
        <v xml:space="preserve">   160249</v>
      </c>
      <c r="B3901" t="s">
        <v>42</v>
      </c>
      <c r="C3901">
        <v>21423058</v>
      </c>
      <c r="D3901">
        <v>15689</v>
      </c>
    </row>
    <row r="3902" spans="1:4" x14ac:dyDescent="0.25">
      <c r="A3902" t="str">
        <f>T("   160250")</f>
        <v xml:space="preserve">   160250</v>
      </c>
      <c r="B3902" t="s">
        <v>43</v>
      </c>
      <c r="C3902">
        <v>34159051</v>
      </c>
      <c r="D3902">
        <v>48224</v>
      </c>
    </row>
    <row r="3903" spans="1:4" x14ac:dyDescent="0.25">
      <c r="A3903" t="str">
        <f>T("   160290")</f>
        <v xml:space="preserve">   160290</v>
      </c>
      <c r="B3903" t="s">
        <v>44</v>
      </c>
      <c r="C3903">
        <v>1919339</v>
      </c>
      <c r="D3903">
        <v>2000</v>
      </c>
    </row>
    <row r="3904" spans="1:4" x14ac:dyDescent="0.25">
      <c r="A3904" t="str">
        <f>T("   160411")</f>
        <v xml:space="preserve">   160411</v>
      </c>
      <c r="B3904" t="str">
        <f>T("   Préparations et conserves de saumons entiers ou en morceaux (à l'excl. des préparations et conserves de saumons hachés)")</f>
        <v xml:space="preserve">   Préparations et conserves de saumons entiers ou en morceaux (à l'excl. des préparations et conserves de saumons hachés)</v>
      </c>
      <c r="C3904">
        <v>5059532</v>
      </c>
      <c r="D3904">
        <v>1669</v>
      </c>
    </row>
    <row r="3905" spans="1:4" x14ac:dyDescent="0.25">
      <c r="A3905" t="str">
        <f>T("   160412")</f>
        <v xml:space="preserve">   160412</v>
      </c>
      <c r="B3905" t="str">
        <f>T("   Préparations et conserves de harengs entiers ou en morceaux (à l'excl. des préparations et conserves de harengs hachés)")</f>
        <v xml:space="preserve">   Préparations et conserves de harengs entiers ou en morceaux (à l'excl. des préparations et conserves de harengs hachés)</v>
      </c>
      <c r="C3905">
        <v>2123343</v>
      </c>
      <c r="D3905">
        <v>1032</v>
      </c>
    </row>
    <row r="3906" spans="1:4" x14ac:dyDescent="0.25">
      <c r="A3906" t="str">
        <f>T("   160413")</f>
        <v xml:space="preserve">   160413</v>
      </c>
      <c r="B390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3906">
        <v>30045693</v>
      </c>
      <c r="D3906">
        <v>59492</v>
      </c>
    </row>
    <row r="3907" spans="1:4" x14ac:dyDescent="0.25">
      <c r="A3907" t="str">
        <f>T("   160414")</f>
        <v xml:space="preserve">   160414</v>
      </c>
      <c r="B3907"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3907">
        <v>85121685</v>
      </c>
      <c r="D3907">
        <v>78717</v>
      </c>
    </row>
    <row r="3908" spans="1:4" x14ac:dyDescent="0.25">
      <c r="A3908" t="str">
        <f>T("   160415")</f>
        <v xml:space="preserve">   160415</v>
      </c>
      <c r="B3908" t="str">
        <f>T("   Préparations et conserves de maquereaux entiers ou en morceaux (à l'excl. des préparations et conserves de maquereaux hachés)")</f>
        <v xml:space="preserve">   Préparations et conserves de maquereaux entiers ou en morceaux (à l'excl. des préparations et conserves de maquereaux hachés)</v>
      </c>
      <c r="C3908">
        <v>700027</v>
      </c>
      <c r="D3908">
        <v>2042</v>
      </c>
    </row>
    <row r="3909" spans="1:4" x14ac:dyDescent="0.25">
      <c r="A3909" t="str">
        <f>T("   160419")</f>
        <v xml:space="preserve">   160419</v>
      </c>
      <c r="B3909" t="s">
        <v>45</v>
      </c>
      <c r="C3909">
        <v>524453</v>
      </c>
      <c r="D3909">
        <v>1110</v>
      </c>
    </row>
    <row r="3910" spans="1:4" x14ac:dyDescent="0.25">
      <c r="A3910" t="str">
        <f>T("   160420")</f>
        <v xml:space="preserve">   160420</v>
      </c>
      <c r="B3910" t="str">
        <f>T("   Préparations et conserves de poissons (à l'excl. des préparations et conserves de poissons entiers ou en morceaux)")</f>
        <v xml:space="preserve">   Préparations et conserves de poissons (à l'excl. des préparations et conserves de poissons entiers ou en morceaux)</v>
      </c>
      <c r="C3910">
        <v>24708703</v>
      </c>
      <c r="D3910">
        <v>12842</v>
      </c>
    </row>
    <row r="3911" spans="1:4" x14ac:dyDescent="0.25">
      <c r="A3911" t="str">
        <f>T("   160590")</f>
        <v xml:space="preserve">   160590</v>
      </c>
      <c r="B3911" t="str">
        <f>T("   Mollusques et autres invertébrés aquatiques, préparés ou conservés")</f>
        <v xml:space="preserve">   Mollusques et autres invertébrés aquatiques, préparés ou conservés</v>
      </c>
      <c r="C3911">
        <v>1044945</v>
      </c>
      <c r="D3911">
        <v>833</v>
      </c>
    </row>
    <row r="3912" spans="1:4" x14ac:dyDescent="0.25">
      <c r="A3912" t="str">
        <f>T("   170111")</f>
        <v xml:space="preserve">   170111</v>
      </c>
      <c r="B3912" t="str">
        <f>T("   Sucres de canne, bruts, sans addition d'aromatisants ou de colorants")</f>
        <v xml:space="preserve">   Sucres de canne, bruts, sans addition d'aromatisants ou de colorants</v>
      </c>
      <c r="C3912">
        <v>24761329</v>
      </c>
      <c r="D3912">
        <v>47755</v>
      </c>
    </row>
    <row r="3913" spans="1:4" x14ac:dyDescent="0.25">
      <c r="A3913" t="str">
        <f>T("   170191")</f>
        <v xml:space="preserve">   170191</v>
      </c>
      <c r="B3913" t="str">
        <f>T("   Sucres de canne ou de betterave, à l'état solide, additionnés d'aromatisants ou de colorants")</f>
        <v xml:space="preserve">   Sucres de canne ou de betterave, à l'état solide, additionnés d'aromatisants ou de colorants</v>
      </c>
      <c r="C3913">
        <v>281481768.745</v>
      </c>
      <c r="D3913">
        <v>1287906</v>
      </c>
    </row>
    <row r="3914" spans="1:4" x14ac:dyDescent="0.25">
      <c r="A3914" t="str">
        <f>T("   170199")</f>
        <v xml:space="preserve">   170199</v>
      </c>
      <c r="B3914"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914">
        <v>1088911728.043</v>
      </c>
      <c r="D3914">
        <v>2891336</v>
      </c>
    </row>
    <row r="3915" spans="1:4" x14ac:dyDescent="0.25">
      <c r="A3915" t="str">
        <f>T("   170219")</f>
        <v xml:space="preserve">   170219</v>
      </c>
      <c r="B3915"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3915">
        <v>496503</v>
      </c>
      <c r="D3915">
        <v>1622</v>
      </c>
    </row>
    <row r="3916" spans="1:4" x14ac:dyDescent="0.25">
      <c r="A3916" t="str">
        <f>T("   170240")</f>
        <v xml:space="preserve">   170240</v>
      </c>
      <c r="B3916" t="str">
        <f>T("   Glucose, à l'état solide, et sirop de glucose, sans addition d'aromatisants ou de colorants, contenant en poids à l'état sec &gt;= 20% mais &lt; 50% de fructose (à l'excl. du sucre inverti [ou interverti])")</f>
        <v xml:space="preserve">   Glucose, à l'état solide, et sirop de glucose, sans addition d'aromatisants ou de colorants, contenant en poids à l'état sec &gt;= 20% mais &lt; 50% de fructose (à l'excl. du sucre inverti [ou interverti])</v>
      </c>
      <c r="C3916">
        <v>1047569</v>
      </c>
      <c r="D3916">
        <v>4502</v>
      </c>
    </row>
    <row r="3917" spans="1:4" x14ac:dyDescent="0.25">
      <c r="A3917" t="str">
        <f>T("   170290")</f>
        <v xml:space="preserve">   170290</v>
      </c>
      <c r="B3917" t="s">
        <v>46</v>
      </c>
      <c r="C3917">
        <v>7873488</v>
      </c>
      <c r="D3917">
        <v>7036</v>
      </c>
    </row>
    <row r="3918" spans="1:4" x14ac:dyDescent="0.25">
      <c r="A3918" t="str">
        <f>T("   170410")</f>
        <v xml:space="preserve">   170410</v>
      </c>
      <c r="B3918" t="str">
        <f>T("   Gommes à mâcher [chewing-gum], même enrobées de sucre")</f>
        <v xml:space="preserve">   Gommes à mâcher [chewing-gum], même enrobées de sucre</v>
      </c>
      <c r="C3918">
        <v>6966500</v>
      </c>
      <c r="D3918">
        <v>43000</v>
      </c>
    </row>
    <row r="3919" spans="1:4" x14ac:dyDescent="0.25">
      <c r="A3919" t="str">
        <f>T("   170490")</f>
        <v xml:space="preserve">   170490</v>
      </c>
      <c r="B3919" t="str">
        <f>T("   Sucreries sans cacao, y.c. le chocolat blanc (à l'excl. des gommes à mâcher)")</f>
        <v xml:space="preserve">   Sucreries sans cacao, y.c. le chocolat blanc (à l'excl. des gommes à mâcher)</v>
      </c>
      <c r="C3919">
        <v>105523958</v>
      </c>
      <c r="D3919">
        <v>119764</v>
      </c>
    </row>
    <row r="3920" spans="1:4" x14ac:dyDescent="0.25">
      <c r="A3920" t="str">
        <f>T("   180620")</f>
        <v xml:space="preserve">   180620</v>
      </c>
      <c r="B3920" t="s">
        <v>47</v>
      </c>
      <c r="C3920">
        <v>22196375</v>
      </c>
      <c r="D3920">
        <v>11280</v>
      </c>
    </row>
    <row r="3921" spans="1:4" x14ac:dyDescent="0.25">
      <c r="A3921" t="str">
        <f>T("   180631")</f>
        <v xml:space="preserve">   180631</v>
      </c>
      <c r="B3921"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3921">
        <v>19876246</v>
      </c>
      <c r="D3921">
        <v>17966</v>
      </c>
    </row>
    <row r="3922" spans="1:4" x14ac:dyDescent="0.25">
      <c r="A3922" t="str">
        <f>T("   180632")</f>
        <v xml:space="preserve">   180632</v>
      </c>
      <c r="B3922"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3922">
        <v>29643430</v>
      </c>
      <c r="D3922">
        <v>16299</v>
      </c>
    </row>
    <row r="3923" spans="1:4" x14ac:dyDescent="0.25">
      <c r="A3923" t="str">
        <f>T("   180690")</f>
        <v xml:space="preserve">   180690</v>
      </c>
      <c r="B3923"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3923">
        <v>16060990</v>
      </c>
      <c r="D3923">
        <v>32631</v>
      </c>
    </row>
    <row r="3924" spans="1:4" x14ac:dyDescent="0.25">
      <c r="A3924" t="str">
        <f>T("   190110")</f>
        <v xml:space="preserve">   190110</v>
      </c>
      <c r="B3924" t="s">
        <v>48</v>
      </c>
      <c r="C3924">
        <v>890801905</v>
      </c>
      <c r="D3924">
        <v>393843</v>
      </c>
    </row>
    <row r="3925" spans="1:4" x14ac:dyDescent="0.25">
      <c r="A3925" t="str">
        <f>T("   190120")</f>
        <v xml:space="preserve">   190120</v>
      </c>
      <c r="B3925" t="s">
        <v>49</v>
      </c>
      <c r="C3925">
        <v>11754803</v>
      </c>
      <c r="D3925">
        <v>8256</v>
      </c>
    </row>
    <row r="3926" spans="1:4" x14ac:dyDescent="0.25">
      <c r="A3926" t="str">
        <f>T("   190190")</f>
        <v xml:space="preserve">   190190</v>
      </c>
      <c r="B3926" t="s">
        <v>50</v>
      </c>
      <c r="C3926">
        <v>155573879</v>
      </c>
      <c r="D3926">
        <v>101728</v>
      </c>
    </row>
    <row r="3927" spans="1:4" x14ac:dyDescent="0.25">
      <c r="A3927" t="str">
        <f>T("   190219")</f>
        <v xml:space="preserve">   190219</v>
      </c>
      <c r="B3927" t="str">
        <f>T("   PÂTES ALIMENTAIRES NON-CUITES NI FARCIES NI AUTREMENT PRÉPARÉES, NE CONTENANT PAS D'OEUFS")</f>
        <v xml:space="preserve">   PÂTES ALIMENTAIRES NON-CUITES NI FARCIES NI AUTREMENT PRÉPARÉES, NE CONTENANT PAS D'OEUFS</v>
      </c>
      <c r="C3927">
        <v>132072317</v>
      </c>
      <c r="D3927">
        <v>271580</v>
      </c>
    </row>
    <row r="3928" spans="1:4" x14ac:dyDescent="0.25">
      <c r="A3928" t="str">
        <f>T("   190230")</f>
        <v xml:space="preserve">   190230</v>
      </c>
      <c r="B3928" t="str">
        <f>T("   Pâtes alimentaires, cuites ou autrement préparées (à l'excl. des pâtes alimentaires farcies)")</f>
        <v xml:space="preserve">   Pâtes alimentaires, cuites ou autrement préparées (à l'excl. des pâtes alimentaires farcies)</v>
      </c>
      <c r="C3928">
        <v>107630963</v>
      </c>
      <c r="D3928">
        <v>258155</v>
      </c>
    </row>
    <row r="3929" spans="1:4" x14ac:dyDescent="0.25">
      <c r="A3929" t="str">
        <f>T("   190240")</f>
        <v xml:space="preserve">   190240</v>
      </c>
      <c r="B3929" t="str">
        <f>T("   Couscous, même préparé")</f>
        <v xml:space="preserve">   Couscous, même préparé</v>
      </c>
      <c r="C3929">
        <v>205016524</v>
      </c>
      <c r="D3929">
        <v>596116</v>
      </c>
    </row>
    <row r="3930" spans="1:4" x14ac:dyDescent="0.25">
      <c r="A3930" t="str">
        <f>T("   190410")</f>
        <v xml:space="preserve">   190410</v>
      </c>
      <c r="B3930" t="str">
        <f>T("   PRODUITS À BASE DE CÉRÉALES OBTENUS PAR SOUFFLAGE OU GRILLAGE [CORN FLAKES, P.EX.]")</f>
        <v xml:space="preserve">   PRODUITS À BASE DE CÉRÉALES OBTENUS PAR SOUFFLAGE OU GRILLAGE [CORN FLAKES, P.EX.]</v>
      </c>
      <c r="C3930">
        <v>5800334</v>
      </c>
      <c r="D3930">
        <v>5115</v>
      </c>
    </row>
    <row r="3931" spans="1:4" x14ac:dyDescent="0.25">
      <c r="A3931" t="str">
        <f>T("   190490")</f>
        <v xml:space="preserve">   190490</v>
      </c>
      <c r="B3931" t="s">
        <v>51</v>
      </c>
      <c r="C3931">
        <v>15051965</v>
      </c>
      <c r="D3931">
        <v>47984</v>
      </c>
    </row>
    <row r="3932" spans="1:4" x14ac:dyDescent="0.25">
      <c r="A3932" t="str">
        <f>T("   190520")</f>
        <v xml:space="preserve">   190520</v>
      </c>
      <c r="B3932" t="str">
        <f>T("   Pain d'épices, même additionné de cacao")</f>
        <v xml:space="preserve">   Pain d'épices, même additionné de cacao</v>
      </c>
      <c r="C3932">
        <v>373032</v>
      </c>
      <c r="D3932">
        <v>1072</v>
      </c>
    </row>
    <row r="3933" spans="1:4" x14ac:dyDescent="0.25">
      <c r="A3933" t="str">
        <f>T("   190531")</f>
        <v xml:space="preserve">   190531</v>
      </c>
      <c r="B3933" t="str">
        <f>T("   Biscuits additionnés d'édulcorants")</f>
        <v xml:space="preserve">   Biscuits additionnés d'édulcorants</v>
      </c>
      <c r="C3933">
        <v>72129058</v>
      </c>
      <c r="D3933">
        <v>122664</v>
      </c>
    </row>
    <row r="3934" spans="1:4" x14ac:dyDescent="0.25">
      <c r="A3934" t="str">
        <f>T("   190540")</f>
        <v xml:space="preserve">   190540</v>
      </c>
      <c r="B3934" t="str">
        <f>T("   Biscottes, pain grillé et produits simil. grillés")</f>
        <v xml:space="preserve">   Biscottes, pain grillé et produits simil. grillés</v>
      </c>
      <c r="C3934">
        <v>59073093</v>
      </c>
      <c r="D3934">
        <v>97505</v>
      </c>
    </row>
    <row r="3935" spans="1:4" x14ac:dyDescent="0.25">
      <c r="A3935" t="str">
        <f>T("   190590")</f>
        <v xml:space="preserve">   190590</v>
      </c>
      <c r="B3935" t="s">
        <v>52</v>
      </c>
      <c r="C3935">
        <v>518983512</v>
      </c>
      <c r="D3935">
        <v>754952.95</v>
      </c>
    </row>
    <row r="3936" spans="1:4" x14ac:dyDescent="0.25">
      <c r="A3936" t="str">
        <f>T("   200190")</f>
        <v xml:space="preserve">   200190</v>
      </c>
      <c r="B3936"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3936">
        <v>5815761</v>
      </c>
      <c r="D3936">
        <v>11258</v>
      </c>
    </row>
    <row r="3937" spans="1:4" x14ac:dyDescent="0.25">
      <c r="A3937" t="str">
        <f>T("   200290")</f>
        <v xml:space="preserve">   200290</v>
      </c>
      <c r="B393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3937">
        <v>6441527</v>
      </c>
      <c r="D3937">
        <v>13740</v>
      </c>
    </row>
    <row r="3938" spans="1:4" x14ac:dyDescent="0.25">
      <c r="A3938" t="str">
        <f>T("   200390")</f>
        <v xml:space="preserve">   200390</v>
      </c>
      <c r="B3938"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3938">
        <v>14347754</v>
      </c>
      <c r="D3938">
        <v>21544</v>
      </c>
    </row>
    <row r="3939" spans="1:4" x14ac:dyDescent="0.25">
      <c r="A3939" t="str">
        <f>T("   200410")</f>
        <v xml:space="preserve">   200410</v>
      </c>
      <c r="B3939" t="str">
        <f>T("   Pommes de terre, préparées ou conservées autrement qu'au vinaigre ou à l'acide acétique, congelées")</f>
        <v xml:space="preserve">   Pommes de terre, préparées ou conservées autrement qu'au vinaigre ou à l'acide acétique, congelées</v>
      </c>
      <c r="C3939">
        <v>24373187</v>
      </c>
      <c r="D3939">
        <v>88925</v>
      </c>
    </row>
    <row r="3940" spans="1:4" x14ac:dyDescent="0.25">
      <c r="A3940" t="str">
        <f>T("   200490")</f>
        <v xml:space="preserve">   200490</v>
      </c>
      <c r="B3940"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3940">
        <v>68468161</v>
      </c>
      <c r="D3940">
        <v>167018</v>
      </c>
    </row>
    <row r="3941" spans="1:4" x14ac:dyDescent="0.25">
      <c r="A3941" t="str">
        <f>T("   200520")</f>
        <v xml:space="preserve">   200520</v>
      </c>
      <c r="B3941" t="str">
        <f>T("   POMMES DE TERRE, PRÉPARÉES OU CONSERVÉES AUTREMENT QU'AU VINAIGRE OU À L'ACIDE ACÉTIQUE, NON-CONGELÉES")</f>
        <v xml:space="preserve">   POMMES DE TERRE, PRÉPARÉES OU CONSERVÉES AUTREMENT QU'AU VINAIGRE OU À L'ACIDE ACÉTIQUE, NON-CONGELÉES</v>
      </c>
      <c r="C3941">
        <v>9022729</v>
      </c>
      <c r="D3941">
        <v>10986</v>
      </c>
    </row>
    <row r="3942" spans="1:4" x14ac:dyDescent="0.25">
      <c r="A3942" t="str">
        <f>T("   200540")</f>
        <v xml:space="preserve">   200540</v>
      </c>
      <c r="B3942" t="str">
        <f>T("   Pois [Pisum sativum], préparés ou conservés autrement qu'au vinaigre ou à l'acide acétique, non congelés")</f>
        <v xml:space="preserve">   Pois [Pisum sativum], préparés ou conservés autrement qu'au vinaigre ou à l'acide acétique, non congelés</v>
      </c>
      <c r="C3942">
        <v>893956</v>
      </c>
      <c r="D3942">
        <v>3456</v>
      </c>
    </row>
    <row r="3943" spans="1:4" x14ac:dyDescent="0.25">
      <c r="A3943" t="str">
        <f>T("   200551")</f>
        <v xml:space="preserve">   200551</v>
      </c>
      <c r="B3943"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3943">
        <v>113731</v>
      </c>
      <c r="D3943">
        <v>350</v>
      </c>
    </row>
    <row r="3944" spans="1:4" x14ac:dyDescent="0.25">
      <c r="A3944" t="str">
        <f>T("   200559")</f>
        <v xml:space="preserve">   200559</v>
      </c>
      <c r="B3944"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3944">
        <v>18717819</v>
      </c>
      <c r="D3944">
        <v>37063</v>
      </c>
    </row>
    <row r="3945" spans="1:4" x14ac:dyDescent="0.25">
      <c r="A3945" t="str">
        <f>T("   200570")</f>
        <v xml:space="preserve">   200570</v>
      </c>
      <c r="B3945" t="str">
        <f>T("   OLIVES, PRÉPARÉES OU CONSERVÉES AUTREMENT QU'AU VINAIGRE OU À L'ACIDE ACÉTIQUE, NON-CONGELÉES")</f>
        <v xml:space="preserve">   OLIVES, PRÉPARÉES OU CONSERVÉES AUTREMENT QU'AU VINAIGRE OU À L'ACIDE ACÉTIQUE, NON-CONGELÉES</v>
      </c>
      <c r="C3945">
        <v>21708900</v>
      </c>
      <c r="D3945">
        <v>69740</v>
      </c>
    </row>
    <row r="3946" spans="1:4" x14ac:dyDescent="0.25">
      <c r="A3946" t="str">
        <f>T("   200580")</f>
        <v xml:space="preserve">   200580</v>
      </c>
      <c r="B3946" t="str">
        <f>T("   Maïs doux [Zea mays var. saccharata], préparé ou conservé autrement qu'au vinaigre ou à l'acide acétique, non congelé")</f>
        <v xml:space="preserve">   Maïs doux [Zea mays var. saccharata], préparé ou conservé autrement qu'au vinaigre ou à l'acide acétique, non congelé</v>
      </c>
      <c r="C3946">
        <v>311417</v>
      </c>
      <c r="D3946">
        <v>1565</v>
      </c>
    </row>
    <row r="3947" spans="1:4" x14ac:dyDescent="0.25">
      <c r="A3947" t="str">
        <f>T("   200590")</f>
        <v xml:space="preserve">   200590</v>
      </c>
      <c r="B3947" t="s">
        <v>53</v>
      </c>
      <c r="C3947">
        <v>26397077</v>
      </c>
      <c r="D3947">
        <v>75717</v>
      </c>
    </row>
    <row r="3948" spans="1:4" x14ac:dyDescent="0.25">
      <c r="A3948" t="str">
        <f>T("   200599")</f>
        <v xml:space="preserve">   200599</v>
      </c>
      <c r="B3948" t="s">
        <v>53</v>
      </c>
      <c r="C3948">
        <v>47981813</v>
      </c>
      <c r="D3948">
        <v>280388</v>
      </c>
    </row>
    <row r="3949" spans="1:4" x14ac:dyDescent="0.25">
      <c r="A3949" t="str">
        <f>T("   200710")</f>
        <v xml:space="preserve">   200710</v>
      </c>
      <c r="B3949" t="s">
        <v>54</v>
      </c>
      <c r="C3949">
        <v>5855932</v>
      </c>
      <c r="D3949">
        <v>1821</v>
      </c>
    </row>
    <row r="3950" spans="1:4" x14ac:dyDescent="0.25">
      <c r="A3950" t="str">
        <f>T("   200799")</f>
        <v xml:space="preserve">   200799</v>
      </c>
      <c r="B3950" t="s">
        <v>55</v>
      </c>
      <c r="C3950">
        <v>13472571</v>
      </c>
      <c r="D3950">
        <v>23393</v>
      </c>
    </row>
    <row r="3951" spans="1:4" x14ac:dyDescent="0.25">
      <c r="A3951" t="str">
        <f>T("   200819")</f>
        <v xml:space="preserve">   200819</v>
      </c>
      <c r="B3951" t="s">
        <v>56</v>
      </c>
      <c r="C3951">
        <v>4017876</v>
      </c>
      <c r="D3951">
        <v>6530</v>
      </c>
    </row>
    <row r="3952" spans="1:4" x14ac:dyDescent="0.25">
      <c r="A3952" t="str">
        <f>T("   200850")</f>
        <v xml:space="preserve">   200850</v>
      </c>
      <c r="B3952" t="s">
        <v>57</v>
      </c>
      <c r="C3952">
        <v>10304476</v>
      </c>
      <c r="D3952">
        <v>10956</v>
      </c>
    </row>
    <row r="3953" spans="1:4" x14ac:dyDescent="0.25">
      <c r="A3953" t="str">
        <f>T("   200880")</f>
        <v xml:space="preserve">   200880</v>
      </c>
      <c r="B3953" t="str">
        <f>T("   Fraises, préparées ou conservées, avec ou sans addition de sucre ou d'autres édulcorants ou d'alcool, n.d.a.")</f>
        <v xml:space="preserve">   Fraises, préparées ou conservées, avec ou sans addition de sucre ou d'autres édulcorants ou d'alcool, n.d.a.</v>
      </c>
      <c r="C3953">
        <v>31486</v>
      </c>
      <c r="D3953">
        <v>74</v>
      </c>
    </row>
    <row r="3954" spans="1:4" x14ac:dyDescent="0.25">
      <c r="A3954" t="str">
        <f>T("   200919")</f>
        <v xml:space="preserve">   200919</v>
      </c>
      <c r="B395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954">
        <v>3674805</v>
      </c>
      <c r="D3954">
        <v>9559</v>
      </c>
    </row>
    <row r="3955" spans="1:4" x14ac:dyDescent="0.25">
      <c r="A3955" t="str">
        <f>T("   200929")</f>
        <v xml:space="preserve">   200929</v>
      </c>
      <c r="B3955"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3955">
        <v>3345</v>
      </c>
      <c r="D3955">
        <v>30</v>
      </c>
    </row>
    <row r="3956" spans="1:4" x14ac:dyDescent="0.25">
      <c r="A3956" t="str">
        <f>T("   200939")</f>
        <v xml:space="preserve">   200939</v>
      </c>
      <c r="B3956"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3956">
        <v>15743</v>
      </c>
      <c r="D3956">
        <v>6</v>
      </c>
    </row>
    <row r="3957" spans="1:4" x14ac:dyDescent="0.25">
      <c r="A3957" t="str">
        <f>T("   200949")</f>
        <v xml:space="preserve">   200949</v>
      </c>
      <c r="B395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3957">
        <v>14228455</v>
      </c>
      <c r="D3957">
        <v>25276</v>
      </c>
    </row>
    <row r="3958" spans="1:4" x14ac:dyDescent="0.25">
      <c r="A3958" t="str">
        <f>T("   200969")</f>
        <v xml:space="preserve">   200969</v>
      </c>
      <c r="B3958"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958">
        <v>15205874</v>
      </c>
      <c r="D3958">
        <v>52783</v>
      </c>
    </row>
    <row r="3959" spans="1:4" x14ac:dyDescent="0.25">
      <c r="A3959" t="str">
        <f>T("   200979")</f>
        <v xml:space="preserve">   200979</v>
      </c>
      <c r="B3959"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959">
        <v>20943008</v>
      </c>
      <c r="D3959">
        <v>45154</v>
      </c>
    </row>
    <row r="3960" spans="1:4" x14ac:dyDescent="0.25">
      <c r="A3960" t="str">
        <f>T("   200980")</f>
        <v xml:space="preserve">   200980</v>
      </c>
      <c r="B396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960">
        <v>57929674</v>
      </c>
      <c r="D3960">
        <v>144200</v>
      </c>
    </row>
    <row r="3961" spans="1:4" x14ac:dyDescent="0.25">
      <c r="A3961" t="str">
        <f>T("   200990")</f>
        <v xml:space="preserve">   200990</v>
      </c>
      <c r="B396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961">
        <v>20730798</v>
      </c>
      <c r="D3961">
        <v>46217</v>
      </c>
    </row>
    <row r="3962" spans="1:4" x14ac:dyDescent="0.25">
      <c r="A3962" t="str">
        <f>T("   210111")</f>
        <v xml:space="preserve">   210111</v>
      </c>
      <c r="B3962" t="str">
        <f>T("   Extraits, essences et concentrés de café")</f>
        <v xml:space="preserve">   Extraits, essences et concentrés de café</v>
      </c>
      <c r="C3962">
        <v>5088938</v>
      </c>
      <c r="D3962">
        <v>4905</v>
      </c>
    </row>
    <row r="3963" spans="1:4" x14ac:dyDescent="0.25">
      <c r="A3963" t="str">
        <f>T("   210112")</f>
        <v xml:space="preserve">   210112</v>
      </c>
      <c r="B3963" t="str">
        <f>T("   Préparations à base d'extraits, essences ou concentrés de café ou à base de café")</f>
        <v xml:space="preserve">   Préparations à base d'extraits, essences ou concentrés de café ou à base de café</v>
      </c>
      <c r="C3963">
        <v>8664576</v>
      </c>
      <c r="D3963">
        <v>8378</v>
      </c>
    </row>
    <row r="3964" spans="1:4" x14ac:dyDescent="0.25">
      <c r="A3964" t="str">
        <f>T("   210120")</f>
        <v xml:space="preserve">   210120</v>
      </c>
      <c r="B3964"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3964">
        <v>2392974</v>
      </c>
      <c r="D3964">
        <v>4703</v>
      </c>
    </row>
    <row r="3965" spans="1:4" x14ac:dyDescent="0.25">
      <c r="A3965" t="str">
        <f>T("   210130")</f>
        <v xml:space="preserve">   210130</v>
      </c>
      <c r="B3965" t="str">
        <f>T("   Chicorée torréfiée et autres succédanés torréfiés du café et leurs extraits, essences et concentrés")</f>
        <v xml:space="preserve">   Chicorée torréfiée et autres succédanés torréfiés du café et leurs extraits, essences et concentrés</v>
      </c>
      <c r="C3965">
        <v>22050336</v>
      </c>
      <c r="D3965">
        <v>58572</v>
      </c>
    </row>
    <row r="3966" spans="1:4" x14ac:dyDescent="0.25">
      <c r="A3966" t="str">
        <f>T("   210210")</f>
        <v xml:space="preserve">   210210</v>
      </c>
      <c r="B3966" t="str">
        <f>T("   Levures vivantes")</f>
        <v xml:space="preserve">   Levures vivantes</v>
      </c>
      <c r="C3966">
        <v>17016081</v>
      </c>
      <c r="D3966">
        <v>96796</v>
      </c>
    </row>
    <row r="3967" spans="1:4" x14ac:dyDescent="0.25">
      <c r="A3967" t="str">
        <f>T("   210230")</f>
        <v xml:space="preserve">   210230</v>
      </c>
      <c r="B3967" t="str">
        <f>T("   Poudres à lever préparées")</f>
        <v xml:space="preserve">   Poudres à lever préparées</v>
      </c>
      <c r="C3967">
        <v>292971516</v>
      </c>
      <c r="D3967">
        <v>348115</v>
      </c>
    </row>
    <row r="3968" spans="1:4" x14ac:dyDescent="0.25">
      <c r="A3968" t="str">
        <f>T("   210320")</f>
        <v xml:space="preserve">   210320</v>
      </c>
      <c r="B3968" t="str">
        <f>T("   Tomato ketchup et autres sauces tomates")</f>
        <v xml:space="preserve">   Tomato ketchup et autres sauces tomates</v>
      </c>
      <c r="C3968">
        <v>3430054</v>
      </c>
      <c r="D3968">
        <v>7820.12</v>
      </c>
    </row>
    <row r="3969" spans="1:4" x14ac:dyDescent="0.25">
      <c r="A3969" t="str">
        <f>T("   210330")</f>
        <v xml:space="preserve">   210330</v>
      </c>
      <c r="B3969" t="str">
        <f>T("   Farine de moutarde et moutarde préparée")</f>
        <v xml:space="preserve">   Farine de moutarde et moutarde préparée</v>
      </c>
      <c r="C3969">
        <v>16178717</v>
      </c>
      <c r="D3969">
        <v>54366</v>
      </c>
    </row>
    <row r="3970" spans="1:4" x14ac:dyDescent="0.25">
      <c r="A3970" t="str">
        <f>T("   210390")</f>
        <v xml:space="preserve">   210390</v>
      </c>
      <c r="B3970"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970">
        <v>258686346</v>
      </c>
      <c r="D3970">
        <v>379070.69</v>
      </c>
    </row>
    <row r="3971" spans="1:4" x14ac:dyDescent="0.25">
      <c r="A3971" t="str">
        <f>T("   210410")</f>
        <v xml:space="preserve">   210410</v>
      </c>
      <c r="B3971" t="str">
        <f>T("   Préparations pour soupes, potages ou bouillons; soupes, potages ou bouillons préparés")</f>
        <v xml:space="preserve">   Préparations pour soupes, potages ou bouillons; soupes, potages ou bouillons préparés</v>
      </c>
      <c r="C3971">
        <v>74394130</v>
      </c>
      <c r="D3971">
        <v>26221</v>
      </c>
    </row>
    <row r="3972" spans="1:4" x14ac:dyDescent="0.25">
      <c r="A3972" t="str">
        <f>T("   210420")</f>
        <v xml:space="preserve">   210420</v>
      </c>
      <c r="B3972" t="s">
        <v>59</v>
      </c>
      <c r="C3972">
        <v>42860066</v>
      </c>
      <c r="D3972">
        <v>14601</v>
      </c>
    </row>
    <row r="3973" spans="1:4" x14ac:dyDescent="0.25">
      <c r="A3973" t="str">
        <f>T("   210500")</f>
        <v xml:space="preserve">   210500</v>
      </c>
      <c r="B3973" t="str">
        <f>T("   Glaces de consommation, même contenant du cacao")</f>
        <v xml:space="preserve">   Glaces de consommation, même contenant du cacao</v>
      </c>
      <c r="C3973">
        <v>75176332</v>
      </c>
      <c r="D3973">
        <v>104296</v>
      </c>
    </row>
    <row r="3974" spans="1:4" x14ac:dyDescent="0.25">
      <c r="A3974" t="str">
        <f>T("   210690")</f>
        <v xml:space="preserve">   210690</v>
      </c>
      <c r="B3974" t="str">
        <f>T("   Préparations alimentaires, n.d.a.")</f>
        <v xml:space="preserve">   Préparations alimentaires, n.d.a.</v>
      </c>
      <c r="C3974">
        <v>350626449</v>
      </c>
      <c r="D3974">
        <v>420286.96</v>
      </c>
    </row>
    <row r="3975" spans="1:4" x14ac:dyDescent="0.25">
      <c r="A3975" t="str">
        <f>T("   220110")</f>
        <v xml:space="preserve">   220110</v>
      </c>
      <c r="B3975" t="str">
        <f>T("   Eaux minérales et eaux gazéifiées, non additionnées de sucre ou d'autres édulcorants ni aromatisées")</f>
        <v xml:space="preserve">   Eaux minérales et eaux gazéifiées, non additionnées de sucre ou d'autres édulcorants ni aromatisées</v>
      </c>
      <c r="C3975">
        <v>75101747</v>
      </c>
      <c r="D3975">
        <v>391942</v>
      </c>
    </row>
    <row r="3976" spans="1:4" x14ac:dyDescent="0.25">
      <c r="A3976" t="str">
        <f>T("   220190")</f>
        <v xml:space="preserve">   220190</v>
      </c>
      <c r="B3976"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976">
        <v>16240878</v>
      </c>
      <c r="D3976">
        <v>88485</v>
      </c>
    </row>
    <row r="3977" spans="1:4" x14ac:dyDescent="0.25">
      <c r="A3977" t="str">
        <f>T("   220210")</f>
        <v xml:space="preserve">   220210</v>
      </c>
      <c r="B397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977">
        <v>28519283</v>
      </c>
      <c r="D3977">
        <v>57887</v>
      </c>
    </row>
    <row r="3978" spans="1:4" x14ac:dyDescent="0.25">
      <c r="A3978" t="str">
        <f>T("   220290")</f>
        <v xml:space="preserve">   220290</v>
      </c>
      <c r="B3978" t="str">
        <f>T("   BOISSONS NON-ALCOOLIQUES (À L'EXCL. DES EAUX, DES JUS DE FRUITS OU DE LÉGUMES AINSI QUE DU LAIT)")</f>
        <v xml:space="preserve">   BOISSONS NON-ALCOOLIQUES (À L'EXCL. DES EAUX, DES JUS DE FRUITS OU DE LÉGUMES AINSI QUE DU LAIT)</v>
      </c>
      <c r="C3978">
        <v>107582991</v>
      </c>
      <c r="D3978">
        <v>367154</v>
      </c>
    </row>
    <row r="3979" spans="1:4" x14ac:dyDescent="0.25">
      <c r="A3979" t="str">
        <f>T("   220300")</f>
        <v xml:space="preserve">   220300</v>
      </c>
      <c r="B3979" t="str">
        <f>T("   Bières de malt")</f>
        <v xml:space="preserve">   Bières de malt</v>
      </c>
      <c r="C3979">
        <v>119486388</v>
      </c>
      <c r="D3979">
        <v>780955</v>
      </c>
    </row>
    <row r="3980" spans="1:4" x14ac:dyDescent="0.25">
      <c r="A3980" t="str">
        <f>T("   220410")</f>
        <v xml:space="preserve">   220410</v>
      </c>
      <c r="B3980" t="str">
        <f>T("   Vins mousseux produits à partir de raisins frais")</f>
        <v xml:space="preserve">   Vins mousseux produits à partir de raisins frais</v>
      </c>
      <c r="C3980">
        <v>108817294</v>
      </c>
      <c r="D3980">
        <v>39321</v>
      </c>
    </row>
    <row r="3981" spans="1:4" x14ac:dyDescent="0.25">
      <c r="A3981" t="str">
        <f>T("   220421")</f>
        <v xml:space="preserve">   220421</v>
      </c>
      <c r="B398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981">
        <v>321235816</v>
      </c>
      <c r="D3981">
        <v>551891</v>
      </c>
    </row>
    <row r="3982" spans="1:4" x14ac:dyDescent="0.25">
      <c r="A3982" t="str">
        <f>T("   220429")</f>
        <v xml:space="preserve">   220429</v>
      </c>
      <c r="B398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982">
        <v>150429688</v>
      </c>
      <c r="D3982">
        <v>284581</v>
      </c>
    </row>
    <row r="3983" spans="1:4" x14ac:dyDescent="0.25">
      <c r="A3983" t="str">
        <f>T("   220510")</f>
        <v xml:space="preserve">   220510</v>
      </c>
      <c r="B3983"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983">
        <v>11162386</v>
      </c>
      <c r="D3983">
        <v>16156</v>
      </c>
    </row>
    <row r="3984" spans="1:4" x14ac:dyDescent="0.25">
      <c r="A3984" t="str">
        <f>T("   220590")</f>
        <v xml:space="preserve">   220590</v>
      </c>
      <c r="B3984"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3984">
        <v>5199814</v>
      </c>
      <c r="D3984">
        <v>15704</v>
      </c>
    </row>
    <row r="3985" spans="1:4" x14ac:dyDescent="0.25">
      <c r="A3985" t="str">
        <f>T("   220600")</f>
        <v xml:space="preserve">   220600</v>
      </c>
      <c r="B3985" t="s">
        <v>60</v>
      </c>
      <c r="C3985">
        <v>32798631</v>
      </c>
      <c r="D3985">
        <v>136238</v>
      </c>
    </row>
    <row r="3986" spans="1:4" x14ac:dyDescent="0.25">
      <c r="A3986" t="str">
        <f>T("   220710")</f>
        <v xml:space="preserve">   220710</v>
      </c>
      <c r="B3986" t="str">
        <f>T("   Alcool éthylique non dénaturé d'un titre alcoométrique volumique &gt;= 80% vol")</f>
        <v xml:space="preserve">   Alcool éthylique non dénaturé d'un titre alcoométrique volumique &gt;= 80% vol</v>
      </c>
      <c r="C3986">
        <v>9127985</v>
      </c>
      <c r="D3986">
        <v>37981</v>
      </c>
    </row>
    <row r="3987" spans="1:4" x14ac:dyDescent="0.25">
      <c r="A3987" t="str">
        <f>T("   220720")</f>
        <v xml:space="preserve">   220720</v>
      </c>
      <c r="B3987" t="str">
        <f>T("   Alcool éthylique et eaux-de-vie dénaturés de tous titres")</f>
        <v xml:space="preserve">   Alcool éthylique et eaux-de-vie dénaturés de tous titres</v>
      </c>
      <c r="C3987">
        <v>13775</v>
      </c>
      <c r="D3987">
        <v>1</v>
      </c>
    </row>
    <row r="3988" spans="1:4" x14ac:dyDescent="0.25">
      <c r="A3988" t="str">
        <f>T("   220820")</f>
        <v xml:space="preserve">   220820</v>
      </c>
      <c r="B3988" t="str">
        <f>T("   Eaux-de-vie de vin ou de marc de raisins")</f>
        <v xml:space="preserve">   Eaux-de-vie de vin ou de marc de raisins</v>
      </c>
      <c r="C3988">
        <v>9063399</v>
      </c>
      <c r="D3988">
        <v>3386</v>
      </c>
    </row>
    <row r="3989" spans="1:4" x14ac:dyDescent="0.25">
      <c r="A3989" t="str">
        <f>T("   220830")</f>
        <v xml:space="preserve">   220830</v>
      </c>
      <c r="B3989" t="str">
        <f>T("   Whiskies")</f>
        <v xml:space="preserve">   Whiskies</v>
      </c>
      <c r="C3989">
        <v>8814491</v>
      </c>
      <c r="D3989">
        <v>22271</v>
      </c>
    </row>
    <row r="3990" spans="1:4" x14ac:dyDescent="0.25">
      <c r="A3990" t="str">
        <f>T("   220840")</f>
        <v xml:space="preserve">   220840</v>
      </c>
      <c r="B3990" t="str">
        <f>T("   RHUM ET AUTRES EAUX-DE-VIE PROVENANT DE LA DISTILLATION, APRÈS FERMENTATION, DE PRODUITS DE CANNES À SUCRE")</f>
        <v xml:space="preserve">   RHUM ET AUTRES EAUX-DE-VIE PROVENANT DE LA DISTILLATION, APRÈS FERMENTATION, DE PRODUITS DE CANNES À SUCRE</v>
      </c>
      <c r="C3990">
        <v>9294237</v>
      </c>
      <c r="D3990">
        <v>26024</v>
      </c>
    </row>
    <row r="3991" spans="1:4" x14ac:dyDescent="0.25">
      <c r="A3991" t="str">
        <f>T("   220850")</f>
        <v xml:space="preserve">   220850</v>
      </c>
      <c r="B3991" t="str">
        <f>T("   Gin et genièvre")</f>
        <v xml:space="preserve">   Gin et genièvre</v>
      </c>
      <c r="C3991">
        <v>21017534</v>
      </c>
      <c r="D3991">
        <v>69386</v>
      </c>
    </row>
    <row r="3992" spans="1:4" x14ac:dyDescent="0.25">
      <c r="A3992" t="str">
        <f>T("   220860")</f>
        <v xml:space="preserve">   220860</v>
      </c>
      <c r="B3992" t="str">
        <f>T("   VODKA")</f>
        <v xml:space="preserve">   VODKA</v>
      </c>
      <c r="C3992">
        <v>208136</v>
      </c>
      <c r="D3992">
        <v>502</v>
      </c>
    </row>
    <row r="3993" spans="1:4" x14ac:dyDescent="0.25">
      <c r="A3993" t="str">
        <f>T("   220870")</f>
        <v xml:space="preserve">   220870</v>
      </c>
      <c r="B3993" t="str">
        <f>T("   LIQUEURS")</f>
        <v xml:space="preserve">   LIQUEURS</v>
      </c>
      <c r="C3993">
        <v>29561219</v>
      </c>
      <c r="D3993">
        <v>132242</v>
      </c>
    </row>
    <row r="3994" spans="1:4" x14ac:dyDescent="0.25">
      <c r="A3994" t="str">
        <f>T("   220890")</f>
        <v xml:space="preserve">   220890</v>
      </c>
      <c r="B3994" t="s">
        <v>61</v>
      </c>
      <c r="C3994">
        <v>115255614</v>
      </c>
      <c r="D3994">
        <v>343653</v>
      </c>
    </row>
    <row r="3995" spans="1:4" x14ac:dyDescent="0.25">
      <c r="A3995" t="str">
        <f>T("   220900")</f>
        <v xml:space="preserve">   220900</v>
      </c>
      <c r="B3995" t="str">
        <f>T("   Vinaigres comestibles et succédanés de vinaigre comestibles obtenus à partir d'acide acétique")</f>
        <v xml:space="preserve">   Vinaigres comestibles et succédanés de vinaigre comestibles obtenus à partir d'acide acétique</v>
      </c>
      <c r="C3995">
        <v>21986055</v>
      </c>
      <c r="D3995">
        <v>34743</v>
      </c>
    </row>
    <row r="3996" spans="1:4" x14ac:dyDescent="0.25">
      <c r="A3996" t="str">
        <f>T("   230240")</f>
        <v xml:space="preserve">   230240</v>
      </c>
      <c r="B3996"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3996">
        <v>611164</v>
      </c>
      <c r="D3996">
        <v>2730</v>
      </c>
    </row>
    <row r="3997" spans="1:4" x14ac:dyDescent="0.25">
      <c r="A3997" t="str">
        <f>T("   230910")</f>
        <v xml:space="preserve">   230910</v>
      </c>
      <c r="B3997" t="str">
        <f>T("   Aliments pour chiens ou chats, conditionnés pour la vente au détail")</f>
        <v xml:space="preserve">   Aliments pour chiens ou chats, conditionnés pour la vente au détail</v>
      </c>
      <c r="C3997">
        <v>128795217</v>
      </c>
      <c r="D3997">
        <v>220592</v>
      </c>
    </row>
    <row r="3998" spans="1:4" x14ac:dyDescent="0.25">
      <c r="A3998" t="str">
        <f>T("   230990")</f>
        <v xml:space="preserve">   230990</v>
      </c>
      <c r="B3998"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3998">
        <v>164371467</v>
      </c>
      <c r="D3998">
        <v>280538</v>
      </c>
    </row>
    <row r="3999" spans="1:4" x14ac:dyDescent="0.25">
      <c r="A3999" t="str">
        <f>T("   250100")</f>
        <v xml:space="preserve">   250100</v>
      </c>
      <c r="B3999" t="s">
        <v>63</v>
      </c>
      <c r="C3999">
        <v>14359102</v>
      </c>
      <c r="D3999">
        <v>12178</v>
      </c>
    </row>
    <row r="4000" spans="1:4" x14ac:dyDescent="0.25">
      <c r="A4000" t="str">
        <f>T("   250410")</f>
        <v xml:space="preserve">   250410</v>
      </c>
      <c r="B4000" t="str">
        <f>T("   Graphite naturel, en poudre ou en paillettes")</f>
        <v xml:space="preserve">   Graphite naturel, en poudre ou en paillettes</v>
      </c>
      <c r="C4000">
        <v>7092226</v>
      </c>
      <c r="D4000">
        <v>21900</v>
      </c>
    </row>
    <row r="4001" spans="1:4" x14ac:dyDescent="0.25">
      <c r="A4001" t="str">
        <f>T("   250510")</f>
        <v xml:space="preserve">   250510</v>
      </c>
      <c r="B4001" t="str">
        <f>T("   Sables siliceux et sables quartzeux, même colorés")</f>
        <v xml:space="preserve">   Sables siliceux et sables quartzeux, même colorés</v>
      </c>
      <c r="C4001">
        <v>4474303</v>
      </c>
      <c r="D4001">
        <v>24500</v>
      </c>
    </row>
    <row r="4002" spans="1:4" x14ac:dyDescent="0.25">
      <c r="A4002" t="str">
        <f>T("   250590")</f>
        <v xml:space="preserve">   250590</v>
      </c>
      <c r="B4002"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4002">
        <v>3344085</v>
      </c>
      <c r="D4002">
        <v>21054</v>
      </c>
    </row>
    <row r="4003" spans="1:4" x14ac:dyDescent="0.25">
      <c r="A4003" t="str">
        <f>T("   250810")</f>
        <v xml:space="preserve">   250810</v>
      </c>
      <c r="B4003" t="str">
        <f>T("   Bentonite")</f>
        <v xml:space="preserve">   Bentonite</v>
      </c>
      <c r="C4003">
        <v>14039512</v>
      </c>
      <c r="D4003">
        <v>18075</v>
      </c>
    </row>
    <row r="4004" spans="1:4" x14ac:dyDescent="0.25">
      <c r="A4004" t="str">
        <f>T("   250840")</f>
        <v xml:space="preserve">   250840</v>
      </c>
      <c r="B4004" t="str">
        <f>T("   Argiles (à l'excl. des argiles réfractaires ou expansées ainsi que du kaolin et des autres argiles kaoliniques)")</f>
        <v xml:space="preserve">   Argiles (à l'excl. des argiles réfractaires ou expansées ainsi que du kaolin et des autres argiles kaoliniques)</v>
      </c>
      <c r="C4004">
        <v>7058132</v>
      </c>
      <c r="D4004">
        <v>1838</v>
      </c>
    </row>
    <row r="4005" spans="1:4" x14ac:dyDescent="0.25">
      <c r="A4005" t="str">
        <f>T("   250900")</f>
        <v xml:space="preserve">   250900</v>
      </c>
      <c r="B4005" t="str">
        <f>T("   Craie")</f>
        <v xml:space="preserve">   Craie</v>
      </c>
      <c r="C4005">
        <v>6505320</v>
      </c>
      <c r="D4005">
        <v>53037</v>
      </c>
    </row>
    <row r="4006" spans="1:4" x14ac:dyDescent="0.25">
      <c r="A4006" t="str">
        <f>T("   251110")</f>
        <v xml:space="preserve">   251110</v>
      </c>
      <c r="B4006" t="str">
        <f>T("   Sulfate de baryum naturel [barytine]")</f>
        <v xml:space="preserve">   Sulfate de baryum naturel [barytine]</v>
      </c>
      <c r="C4006">
        <v>657928</v>
      </c>
      <c r="D4006">
        <v>1008</v>
      </c>
    </row>
    <row r="4007" spans="1:4" x14ac:dyDescent="0.25">
      <c r="A4007" t="str">
        <f>T("   251200")</f>
        <v xml:space="preserve">   251200</v>
      </c>
      <c r="B4007"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4007">
        <v>110561299</v>
      </c>
      <c r="D4007">
        <v>194113</v>
      </c>
    </row>
    <row r="4008" spans="1:4" x14ac:dyDescent="0.25">
      <c r="A4008" t="str">
        <f>T("   251690")</f>
        <v xml:space="preserve">   251690</v>
      </c>
      <c r="B4008" t="s">
        <v>64</v>
      </c>
      <c r="C4008">
        <v>1803890</v>
      </c>
      <c r="D4008">
        <v>1200</v>
      </c>
    </row>
    <row r="4009" spans="1:4" x14ac:dyDescent="0.25">
      <c r="A4009" t="str">
        <f>T("   252020")</f>
        <v xml:space="preserve">   252020</v>
      </c>
      <c r="B4009" t="str">
        <f>T("   Plâtres, même colorés ou additionnés de faibles quantités d'accélérateurs ou de retardateurs")</f>
        <v xml:space="preserve">   Plâtres, même colorés ou additionnés de faibles quantités d'accélérateurs ou de retardateurs</v>
      </c>
      <c r="C4009">
        <v>15252383</v>
      </c>
      <c r="D4009">
        <v>265052</v>
      </c>
    </row>
    <row r="4010" spans="1:4" x14ac:dyDescent="0.25">
      <c r="A4010" t="str">
        <f>T("   252210")</f>
        <v xml:space="preserve">   252210</v>
      </c>
      <c r="B4010" t="str">
        <f>T("   Chaux vive")</f>
        <v xml:space="preserve">   Chaux vive</v>
      </c>
      <c r="C4010">
        <v>2640895</v>
      </c>
      <c r="D4010">
        <v>26000</v>
      </c>
    </row>
    <row r="4011" spans="1:4" x14ac:dyDescent="0.25">
      <c r="A4011" t="str">
        <f>T("   252220")</f>
        <v xml:space="preserve">   252220</v>
      </c>
      <c r="B4011" t="str">
        <f>T("   Chaux éteinte")</f>
        <v xml:space="preserve">   Chaux éteinte</v>
      </c>
      <c r="C4011">
        <v>423751</v>
      </c>
      <c r="D4011">
        <v>208</v>
      </c>
    </row>
    <row r="4012" spans="1:4" x14ac:dyDescent="0.25">
      <c r="A4012" t="str">
        <f>T("   252321")</f>
        <v xml:space="preserve">   252321</v>
      </c>
      <c r="B4012" t="str">
        <f>T("   Ciments Portland blancs, même colorés artificiellement")</f>
        <v xml:space="preserve">   Ciments Portland blancs, même colorés artificiellement</v>
      </c>
      <c r="C4012">
        <v>10989887</v>
      </c>
      <c r="D4012">
        <v>132600</v>
      </c>
    </row>
    <row r="4013" spans="1:4" x14ac:dyDescent="0.25">
      <c r="A4013" t="str">
        <f>T("   252390")</f>
        <v xml:space="preserve">   252390</v>
      </c>
      <c r="B4013" t="str">
        <f>T("   Ciments, même colorés (à l'excl. des ciments Portland et des ciments alumineux)")</f>
        <v xml:space="preserve">   Ciments, même colorés (à l'excl. des ciments Portland et des ciments alumineux)</v>
      </c>
      <c r="C4013">
        <v>62707388</v>
      </c>
      <c r="D4013">
        <v>1650174</v>
      </c>
    </row>
    <row r="4014" spans="1:4" x14ac:dyDescent="0.25">
      <c r="A4014" t="str">
        <f>T("   253090")</f>
        <v xml:space="preserve">   253090</v>
      </c>
      <c r="B4014" t="str">
        <f>T("   Sulfures d'arsenic, alunite, terre de pouzzolane, terres colorantes et autres matières minérales, n.d.a.")</f>
        <v xml:space="preserve">   Sulfures d'arsenic, alunite, terre de pouzzolane, terres colorantes et autres matières minérales, n.d.a.</v>
      </c>
      <c r="C4014">
        <v>17758175</v>
      </c>
      <c r="D4014">
        <v>65671</v>
      </c>
    </row>
    <row r="4015" spans="1:4" x14ac:dyDescent="0.25">
      <c r="A4015" t="str">
        <f>T("   270400")</f>
        <v xml:space="preserve">   270400</v>
      </c>
      <c r="B4015" t="str">
        <f>T("   Cokes et semi-cokes de houille, de lignite ou de tourbe, même agglomérés; charbon de cornue")</f>
        <v xml:space="preserve">   Cokes et semi-cokes de houille, de lignite ou de tourbe, même agglomérés; charbon de cornue</v>
      </c>
      <c r="C4015">
        <v>183151</v>
      </c>
      <c r="D4015">
        <v>6</v>
      </c>
    </row>
    <row r="4016" spans="1:4" x14ac:dyDescent="0.25">
      <c r="A4016" t="str">
        <f>T("   270730")</f>
        <v xml:space="preserve">   270730</v>
      </c>
      <c r="B4016" t="str">
        <f>T("   XYLOL 'XYLÈNES' CONTENANT &gt; 50% DE XYLÈNES (À L'EXCL. DES PRODUITS DE CONSTITUTION CHIMIQUE DÉFINIE)")</f>
        <v xml:space="preserve">   XYLOL 'XYLÈNES' CONTENANT &gt; 50% DE XYLÈNES (À L'EXCL. DES PRODUITS DE CONSTITUTION CHIMIQUE DÉFINIE)</v>
      </c>
      <c r="C4016">
        <v>249921</v>
      </c>
      <c r="D4016">
        <v>66</v>
      </c>
    </row>
    <row r="4017" spans="1:4" x14ac:dyDescent="0.25">
      <c r="A4017" t="str">
        <f>T("   270750")</f>
        <v xml:space="preserve">   270750</v>
      </c>
      <c r="B4017"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4017">
        <v>6132570</v>
      </c>
      <c r="D4017">
        <v>5617</v>
      </c>
    </row>
    <row r="4018" spans="1:4" x14ac:dyDescent="0.25">
      <c r="A4018" t="str">
        <f>T("   271011")</f>
        <v xml:space="preserve">   271011</v>
      </c>
      <c r="B401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018">
        <v>8808887</v>
      </c>
      <c r="D4018">
        <v>7912</v>
      </c>
    </row>
    <row r="4019" spans="1:4" x14ac:dyDescent="0.25">
      <c r="A4019" t="str">
        <f>T("   271019")</f>
        <v xml:space="preserve">   271019</v>
      </c>
      <c r="B4019" t="str">
        <f>T("   Huiles moyennes et préparations, de pétrole ou de minéraux bitumineux, n.d.a.")</f>
        <v xml:space="preserve">   Huiles moyennes et préparations, de pétrole ou de minéraux bitumineux, n.d.a.</v>
      </c>
      <c r="C4019">
        <v>1705970681</v>
      </c>
      <c r="D4019">
        <v>3760887</v>
      </c>
    </row>
    <row r="4020" spans="1:4" x14ac:dyDescent="0.25">
      <c r="A4020" t="str">
        <f>T("   271099")</f>
        <v xml:space="preserve">   271099</v>
      </c>
      <c r="B4020"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4020">
        <v>1476370</v>
      </c>
      <c r="D4020">
        <v>2100</v>
      </c>
    </row>
    <row r="4021" spans="1:4" x14ac:dyDescent="0.25">
      <c r="A4021" t="str">
        <f>T("   271210")</f>
        <v xml:space="preserve">   271210</v>
      </c>
      <c r="B4021" t="str">
        <f>T("   Vaseline")</f>
        <v xml:space="preserve">   Vaseline</v>
      </c>
      <c r="C4021">
        <v>6545904</v>
      </c>
      <c r="D4021">
        <v>2870</v>
      </c>
    </row>
    <row r="4022" spans="1:4" x14ac:dyDescent="0.25">
      <c r="A4022" t="str">
        <f>T("   271500")</f>
        <v xml:space="preserve">   271500</v>
      </c>
      <c r="B4022"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4022">
        <v>70200333</v>
      </c>
      <c r="D4022">
        <v>128355</v>
      </c>
    </row>
    <row r="4023" spans="1:4" x14ac:dyDescent="0.25">
      <c r="A4023" t="str">
        <f>T("   280110")</f>
        <v xml:space="preserve">   280110</v>
      </c>
      <c r="B4023" t="str">
        <f>T("   Chlore")</f>
        <v xml:space="preserve">   Chlore</v>
      </c>
      <c r="C4023">
        <v>9487150</v>
      </c>
      <c r="D4023">
        <v>4663</v>
      </c>
    </row>
    <row r="4024" spans="1:4" x14ac:dyDescent="0.25">
      <c r="A4024" t="str">
        <f>T("   280429")</f>
        <v xml:space="preserve">   280429</v>
      </c>
      <c r="B4024" t="str">
        <f>T("   Gaz rares (à l'excl. de l'argon)")</f>
        <v xml:space="preserve">   Gaz rares (à l'excl. de l'argon)</v>
      </c>
      <c r="C4024">
        <v>1576810</v>
      </c>
      <c r="D4024">
        <v>760</v>
      </c>
    </row>
    <row r="4025" spans="1:4" x14ac:dyDescent="0.25">
      <c r="A4025" t="str">
        <f>T("   280430")</f>
        <v xml:space="preserve">   280430</v>
      </c>
      <c r="B4025" t="str">
        <f>T("   Azote")</f>
        <v xml:space="preserve">   Azote</v>
      </c>
      <c r="C4025">
        <v>3489838</v>
      </c>
      <c r="D4025">
        <v>1988</v>
      </c>
    </row>
    <row r="4026" spans="1:4" x14ac:dyDescent="0.25">
      <c r="A4026" t="str">
        <f>T("   280440")</f>
        <v xml:space="preserve">   280440</v>
      </c>
      <c r="B4026" t="str">
        <f>T("   Oxygène")</f>
        <v xml:space="preserve">   Oxygène</v>
      </c>
      <c r="C4026">
        <v>419814</v>
      </c>
      <c r="D4026">
        <v>35</v>
      </c>
    </row>
    <row r="4027" spans="1:4" x14ac:dyDescent="0.25">
      <c r="A4027" t="str">
        <f>T("   280512")</f>
        <v xml:space="preserve">   280512</v>
      </c>
      <c r="B4027" t="str">
        <f>T("   CALCIUM")</f>
        <v xml:space="preserve">   CALCIUM</v>
      </c>
      <c r="C4027">
        <v>2569395</v>
      </c>
      <c r="D4027">
        <v>360</v>
      </c>
    </row>
    <row r="4028" spans="1:4" x14ac:dyDescent="0.25">
      <c r="A4028" t="str">
        <f>T("   280519")</f>
        <v xml:space="preserve">   280519</v>
      </c>
      <c r="B4028" t="str">
        <f>T("   Métaux alcalins ou alcalino-terreux (à l'excl. du sodium et du calcium)")</f>
        <v xml:space="preserve">   Métaux alcalins ou alcalino-terreux (à l'excl. du sodium et du calcium)</v>
      </c>
      <c r="C4028">
        <v>1660891</v>
      </c>
      <c r="D4028">
        <v>125</v>
      </c>
    </row>
    <row r="4029" spans="1:4" x14ac:dyDescent="0.25">
      <c r="A4029" t="str">
        <f>T("   280610")</f>
        <v xml:space="preserve">   280610</v>
      </c>
      <c r="B4029" t="str">
        <f>T("   Chlorure d'hydrogène [acide chlorhydrique]")</f>
        <v xml:space="preserve">   Chlorure d'hydrogène [acide chlorhydrique]</v>
      </c>
      <c r="C4029">
        <v>13388845</v>
      </c>
      <c r="D4029">
        <v>46030</v>
      </c>
    </row>
    <row r="4030" spans="1:4" x14ac:dyDescent="0.25">
      <c r="A4030" t="str">
        <f>T("   280700")</f>
        <v xml:space="preserve">   280700</v>
      </c>
      <c r="B4030" t="str">
        <f>T("   Acide sulfurique; oléum")</f>
        <v xml:space="preserve">   Acide sulfurique; oléum</v>
      </c>
      <c r="C4030">
        <v>23668348</v>
      </c>
      <c r="D4030">
        <v>99172</v>
      </c>
    </row>
    <row r="4031" spans="1:4" x14ac:dyDescent="0.25">
      <c r="A4031" t="str">
        <f>T("   280920")</f>
        <v xml:space="preserve">   280920</v>
      </c>
      <c r="B4031" t="str">
        <f>T("   Acide phosphorique; acides polyphosphoriques, de constitution chimique définie ou non")</f>
        <v xml:space="preserve">   Acide phosphorique; acides polyphosphoriques, de constitution chimique définie ou non</v>
      </c>
      <c r="C4031">
        <v>1935738</v>
      </c>
      <c r="D4031">
        <v>167</v>
      </c>
    </row>
    <row r="4032" spans="1:4" x14ac:dyDescent="0.25">
      <c r="A4032" t="str">
        <f>T("   281000")</f>
        <v xml:space="preserve">   281000</v>
      </c>
      <c r="B4032" t="str">
        <f>T("   Oxydes de bore; acides boriques")</f>
        <v xml:space="preserve">   Oxydes de bore; acides boriques</v>
      </c>
      <c r="C4032">
        <v>329280</v>
      </c>
      <c r="D4032">
        <v>5</v>
      </c>
    </row>
    <row r="4033" spans="1:4" x14ac:dyDescent="0.25">
      <c r="A4033" t="str">
        <f>T("   281122")</f>
        <v xml:space="preserve">   281122</v>
      </c>
      <c r="B4033" t="str">
        <f>T("   Dioxyde de silicium")</f>
        <v xml:space="preserve">   Dioxyde de silicium</v>
      </c>
      <c r="C4033">
        <v>7235239</v>
      </c>
      <c r="D4033">
        <v>6132</v>
      </c>
    </row>
    <row r="4034" spans="1:4" x14ac:dyDescent="0.25">
      <c r="A4034" t="str">
        <f>T("   281410")</f>
        <v xml:space="preserve">   281410</v>
      </c>
      <c r="B4034" t="str">
        <f>T("   AMMONIAC ANHYDRE")</f>
        <v xml:space="preserve">   AMMONIAC ANHYDRE</v>
      </c>
      <c r="C4034">
        <v>11325851</v>
      </c>
      <c r="D4034">
        <v>13600</v>
      </c>
    </row>
    <row r="4035" spans="1:4" x14ac:dyDescent="0.25">
      <c r="A4035" t="str">
        <f>T("   281420")</f>
        <v xml:space="preserve">   281420</v>
      </c>
      <c r="B4035" t="str">
        <f>T("   Ammoniac en solution aqueuse [ammoniaque]")</f>
        <v xml:space="preserve">   Ammoniac en solution aqueuse [ammoniaque]</v>
      </c>
      <c r="C4035">
        <v>1391947</v>
      </c>
      <c r="D4035">
        <v>845</v>
      </c>
    </row>
    <row r="4036" spans="1:4" x14ac:dyDescent="0.25">
      <c r="A4036" t="str">
        <f>T("   281511")</f>
        <v xml:space="preserve">   281511</v>
      </c>
      <c r="B4036" t="str">
        <f>T("   Hydroxyde de sodium [soude caustique], solide")</f>
        <v xml:space="preserve">   Hydroxyde de sodium [soude caustique], solide</v>
      </c>
      <c r="C4036">
        <v>121950180</v>
      </c>
      <c r="D4036">
        <v>245080</v>
      </c>
    </row>
    <row r="4037" spans="1:4" x14ac:dyDescent="0.25">
      <c r="A4037" t="str">
        <f>T("   282619")</f>
        <v xml:space="preserve">   282619</v>
      </c>
      <c r="B4037" t="str">
        <f>T("   FLUORURES (À L'EXCL. DES FLUORURES D'ALUMINIUM ET DU MERCURE)")</f>
        <v xml:space="preserve">   FLUORURES (À L'EXCL. DES FLUORURES D'ALUMINIUM ET DU MERCURE)</v>
      </c>
      <c r="C4037">
        <v>8619971</v>
      </c>
      <c r="D4037">
        <v>113</v>
      </c>
    </row>
    <row r="4038" spans="1:4" x14ac:dyDescent="0.25">
      <c r="A4038" t="str">
        <f>T("   282720")</f>
        <v xml:space="preserve">   282720</v>
      </c>
      <c r="B4038" t="str">
        <f>T("   Chlorure de calcium")</f>
        <v xml:space="preserve">   Chlorure de calcium</v>
      </c>
      <c r="C4038">
        <v>11706796</v>
      </c>
      <c r="D4038">
        <v>15091</v>
      </c>
    </row>
    <row r="4039" spans="1:4" x14ac:dyDescent="0.25">
      <c r="A4039" t="str">
        <f>T("   282739")</f>
        <v xml:space="preserve">   282739</v>
      </c>
      <c r="B4039" t="str">
        <f>T("   CHLORURES (À L'EXCL. DES CHLORURES D'AMMONIUM, DE CALCIUM, DE MAGNÉSIUM, D'ALUMINIUM, DE NICKEL ET DE MERCURE)")</f>
        <v xml:space="preserve">   CHLORURES (À L'EXCL. DES CHLORURES D'AMMONIUM, DE CALCIUM, DE MAGNÉSIUM, D'ALUMINIUM, DE NICKEL ET DE MERCURE)</v>
      </c>
      <c r="C4039">
        <v>1250004</v>
      </c>
      <c r="D4039">
        <v>18</v>
      </c>
    </row>
    <row r="4040" spans="1:4" x14ac:dyDescent="0.25">
      <c r="A4040" t="str">
        <f>T("   282760")</f>
        <v xml:space="preserve">   282760</v>
      </c>
      <c r="B4040" t="str">
        <f>T("   Iodures et oxyiodures")</f>
        <v xml:space="preserve">   Iodures et oxyiodures</v>
      </c>
      <c r="C4040">
        <v>1995430</v>
      </c>
      <c r="D4040">
        <v>600</v>
      </c>
    </row>
    <row r="4041" spans="1:4" x14ac:dyDescent="0.25">
      <c r="A4041" t="str">
        <f>T("   282890")</f>
        <v xml:space="preserve">   282890</v>
      </c>
      <c r="B4041" t="str">
        <f>T("   Hypochlorites, chlorites et hypobromites (à l'excl. des hypochlorites de calcium)")</f>
        <v xml:space="preserve">   Hypochlorites, chlorites et hypobromites (à l'excl. des hypochlorites de calcium)</v>
      </c>
      <c r="C4041">
        <v>72176124</v>
      </c>
      <c r="D4041">
        <v>125633.65</v>
      </c>
    </row>
    <row r="4042" spans="1:4" x14ac:dyDescent="0.25">
      <c r="A4042" t="str">
        <f>T("   283220")</f>
        <v xml:space="preserve">   283220</v>
      </c>
      <c r="B4042" t="str">
        <f>T("   Sulfites (autres que de sodium)")</f>
        <v xml:space="preserve">   Sulfites (autres que de sodium)</v>
      </c>
      <c r="C4042">
        <v>6680231</v>
      </c>
      <c r="D4042">
        <v>3012</v>
      </c>
    </row>
    <row r="4043" spans="1:4" x14ac:dyDescent="0.25">
      <c r="A4043" t="str">
        <f>T("   283329")</f>
        <v xml:space="preserve">   283329</v>
      </c>
      <c r="B4043" t="str">
        <f>T("   SULFATES (AUTRES QUE DE SODIUM, DE MAGNÉSIUM, D'ALUMINIUM, DE NICKEL, DE CUIVRE, DE BARYUM OU DE MERCURE)")</f>
        <v xml:space="preserve">   SULFATES (AUTRES QUE DE SODIUM, DE MAGNÉSIUM, D'ALUMINIUM, DE NICKEL, DE CUIVRE, DE BARYUM OU DE MERCURE)</v>
      </c>
      <c r="C4043">
        <v>3075796</v>
      </c>
      <c r="D4043">
        <v>307</v>
      </c>
    </row>
    <row r="4044" spans="1:4" x14ac:dyDescent="0.25">
      <c r="A4044" t="str">
        <f>T("   283529")</f>
        <v xml:space="preserve">   283529</v>
      </c>
      <c r="B4044" t="str">
        <f>T("   PHOSPHATES (À L'EXCL. DES PHOSPHATES DE MONOSODIUM, DE DISODIUM, DE POTASSIUM, DE CALCIUM ET DU MERCURE)")</f>
        <v xml:space="preserve">   PHOSPHATES (À L'EXCL. DES PHOSPHATES DE MONOSODIUM, DE DISODIUM, DE POTASSIUM, DE CALCIUM ET DU MERCURE)</v>
      </c>
      <c r="C4044">
        <v>799615</v>
      </c>
      <c r="D4044">
        <v>200</v>
      </c>
    </row>
    <row r="4045" spans="1:4" x14ac:dyDescent="0.25">
      <c r="A4045" t="str">
        <f>T("   283531")</f>
        <v xml:space="preserve">   283531</v>
      </c>
      <c r="B4045" t="str">
        <f>T("   Triphosphate de sodium [tripolyphosphate de sodium], de constitution chimique définie ou non")</f>
        <v xml:space="preserve">   Triphosphate de sodium [tripolyphosphate de sodium], de constitution chimique définie ou non</v>
      </c>
      <c r="C4045">
        <v>266975</v>
      </c>
      <c r="D4045">
        <v>101</v>
      </c>
    </row>
    <row r="4046" spans="1:4" x14ac:dyDescent="0.25">
      <c r="A4046" t="str">
        <f>T("   283620")</f>
        <v xml:space="preserve">   283620</v>
      </c>
      <c r="B4046" t="str">
        <f>T("   Carbonate de disodium")</f>
        <v xml:space="preserve">   Carbonate de disodium</v>
      </c>
      <c r="C4046">
        <v>796335</v>
      </c>
      <c r="D4046">
        <v>413</v>
      </c>
    </row>
    <row r="4047" spans="1:4" x14ac:dyDescent="0.25">
      <c r="A4047" t="str">
        <f>T("   283650")</f>
        <v xml:space="preserve">   283650</v>
      </c>
      <c r="B4047" t="str">
        <f>T("   Carbonate de calcium")</f>
        <v xml:space="preserve">   Carbonate de calcium</v>
      </c>
      <c r="C4047">
        <v>44370407</v>
      </c>
      <c r="D4047">
        <v>332857</v>
      </c>
    </row>
    <row r="4048" spans="1:4" x14ac:dyDescent="0.25">
      <c r="A4048" t="str">
        <f>T("   283911")</f>
        <v xml:space="preserve">   283911</v>
      </c>
      <c r="B4048" t="str">
        <f>T("   Métasilicates de sodium")</f>
        <v xml:space="preserve">   Métasilicates de sodium</v>
      </c>
      <c r="C4048">
        <v>114793</v>
      </c>
      <c r="D4048">
        <v>101</v>
      </c>
    </row>
    <row r="4049" spans="1:4" x14ac:dyDescent="0.25">
      <c r="A4049" t="str">
        <f>T("   283990")</f>
        <v xml:space="preserve">   283990</v>
      </c>
      <c r="B4049" t="str">
        <f>T("   SILICATES, Y.C. LES SILICATES DES MÉTAUX ALCALINS DU COMMERCE (À L'EXCL. DES SILICATES DE SODIUM)")</f>
        <v xml:space="preserve">   SILICATES, Y.C. LES SILICATES DES MÉTAUX ALCALINS DU COMMERCE (À L'EXCL. DES SILICATES DE SODIUM)</v>
      </c>
      <c r="C4049">
        <v>3662776</v>
      </c>
      <c r="D4049">
        <v>941</v>
      </c>
    </row>
    <row r="4050" spans="1:4" x14ac:dyDescent="0.25">
      <c r="A4050" t="str">
        <f>T("   284329")</f>
        <v xml:space="preserve">   284329</v>
      </c>
      <c r="B4050" t="str">
        <f>T("   Composés d'argent, inorganiques ou organiques, de constitution chimique définie ou non (à l'excl. du nitrate d'argent)")</f>
        <v xml:space="preserve">   Composés d'argent, inorganiques ou organiques, de constitution chimique définie ou non (à l'excl. du nitrate d'argent)</v>
      </c>
      <c r="C4050">
        <v>431661</v>
      </c>
      <c r="D4050">
        <v>448</v>
      </c>
    </row>
    <row r="4051" spans="1:4" x14ac:dyDescent="0.25">
      <c r="A4051" t="str">
        <f>T("   284700")</f>
        <v xml:space="preserve">   284700</v>
      </c>
      <c r="B4051" t="str">
        <f>T("   Peroxyde d'hydrogène [eau oxygénée], même solidifié avec de l'urée")</f>
        <v xml:space="preserve">   Peroxyde d'hydrogène [eau oxygénée], même solidifié avec de l'urée</v>
      </c>
      <c r="C4051">
        <v>351595</v>
      </c>
      <c r="D4051">
        <v>138</v>
      </c>
    </row>
    <row r="4052" spans="1:4" x14ac:dyDescent="0.25">
      <c r="A4052" t="str">
        <f>T("   284910")</f>
        <v xml:space="preserve">   284910</v>
      </c>
      <c r="B4052" t="str">
        <f>T("   Carbure de calcium, de constitution chimique définie ou non")</f>
        <v xml:space="preserve">   Carbure de calcium, de constitution chimique définie ou non</v>
      </c>
      <c r="C4052">
        <v>654845</v>
      </c>
      <c r="D4052">
        <v>1</v>
      </c>
    </row>
    <row r="4053" spans="1:4" x14ac:dyDescent="0.25">
      <c r="A4053" t="str">
        <f>T("   285300")</f>
        <v xml:space="preserve">   285300</v>
      </c>
      <c r="B4053" t="str">
        <f>T("   COMPOSÉS INORGANIQUES, Y.C. LES EAUX DISTILLÉES, DE CONDUCTIBILITÉ OU DE MÊME DEGRÉ DE PURETÉ, N.D.A.; AIR LIQUIDE, Y.C. L'AIR LIQUIDE DONT LES GAZ ONT ÉTÉ ÉLIMINÉS; AIR COMPRIMÉ; AMALGAMES (À L'EXCL. DE MÉTAUX PRÉCIEUX)")</f>
        <v xml:space="preserve">   COMPOSÉS INORGANIQUES, Y.C. LES EAUX DISTILLÉES, DE CONDUCTIBILITÉ OU DE MÊME DEGRÉ DE PURETÉ, N.D.A.; AIR LIQUIDE, Y.C. L'AIR LIQUIDE DONT LES GAZ ONT ÉTÉ ÉLIMINÉS; AIR COMPRIMÉ; AMALGAMES (À L'EXCL. DE MÉTAUX PRÉCIEUX)</v>
      </c>
      <c r="C4053">
        <v>220403</v>
      </c>
      <c r="D4053">
        <v>105</v>
      </c>
    </row>
    <row r="4054" spans="1:4" x14ac:dyDescent="0.25">
      <c r="A4054" t="str">
        <f>T("   290211")</f>
        <v xml:space="preserve">   290211</v>
      </c>
      <c r="B4054" t="str">
        <f>T("   Cyclohexane")</f>
        <v xml:space="preserve">   Cyclohexane</v>
      </c>
      <c r="C4054">
        <v>2760936</v>
      </c>
      <c r="D4054">
        <v>279</v>
      </c>
    </row>
    <row r="4055" spans="1:4" x14ac:dyDescent="0.25">
      <c r="A4055" t="str">
        <f>T("   290230")</f>
        <v xml:space="preserve">   290230</v>
      </c>
      <c r="B4055" t="str">
        <f>T("   Toluène")</f>
        <v xml:space="preserve">   Toluène</v>
      </c>
      <c r="C4055">
        <v>13243832</v>
      </c>
      <c r="D4055">
        <v>8048</v>
      </c>
    </row>
    <row r="4056" spans="1:4" x14ac:dyDescent="0.25">
      <c r="A4056" t="str">
        <f>T("   290244")</f>
        <v xml:space="preserve">   290244</v>
      </c>
      <c r="B4056" t="str">
        <f>T("   Isomères du xylène en mélange")</f>
        <v xml:space="preserve">   Isomères du xylène en mélange</v>
      </c>
      <c r="C4056">
        <v>913753</v>
      </c>
      <c r="D4056">
        <v>760</v>
      </c>
    </row>
    <row r="4057" spans="1:4" x14ac:dyDescent="0.25">
      <c r="A4057" t="str">
        <f>T("   290312")</f>
        <v xml:space="preserve">   290312</v>
      </c>
      <c r="B4057" t="str">
        <f>T("   Dichlorométhane [chlorure de méthylène]")</f>
        <v xml:space="preserve">   Dichlorométhane [chlorure de méthylène]</v>
      </c>
      <c r="C4057">
        <v>15888663</v>
      </c>
      <c r="D4057">
        <v>42605</v>
      </c>
    </row>
    <row r="4058" spans="1:4" x14ac:dyDescent="0.25">
      <c r="A4058" t="str">
        <f>T("   290339")</f>
        <v xml:space="preserve">   290339</v>
      </c>
      <c r="B4058" t="str">
        <f>T("   DÉRIVÉS FLUORÉS, DÉRIVÉS BROMÉS ET DÉRIVÉS IODÉS DES HYDROCARBURES ACYCLIQUES (À L'EXCL. DU DIBROMURE D'ÉTHYLÈNE [ISO] [1,2-DIBROMOÉTHANE])")</f>
        <v xml:space="preserve">   DÉRIVÉS FLUORÉS, DÉRIVÉS BROMÉS ET DÉRIVÉS IODÉS DES HYDROCARBURES ACYCLIQUES (À L'EXCL. DU DIBROMURE D'ÉTHYLÈNE [ISO] [1,2-DIBROMOÉTHANE])</v>
      </c>
      <c r="C4058">
        <v>5238654</v>
      </c>
      <c r="D4058">
        <v>1230</v>
      </c>
    </row>
    <row r="4059" spans="1:4" x14ac:dyDescent="0.25">
      <c r="A4059" t="str">
        <f>T("   290532")</f>
        <v xml:space="preserve">   290532</v>
      </c>
      <c r="B4059" t="str">
        <f>T("   Propylène glycol [propane-1,2-diol]")</f>
        <v xml:space="preserve">   Propylène glycol [propane-1,2-diol]</v>
      </c>
      <c r="C4059">
        <v>44832524</v>
      </c>
      <c r="D4059">
        <v>3067</v>
      </c>
    </row>
    <row r="4060" spans="1:4" x14ac:dyDescent="0.25">
      <c r="A4060" t="str">
        <f>T("   290542")</f>
        <v xml:space="preserve">   290542</v>
      </c>
      <c r="B4060" t="str">
        <f>T("   PENTAÉRYÈRITOL [PENTAÉRYÈRITE]")</f>
        <v xml:space="preserve">   PENTAÉRYÈRITOL [PENTAÉRYÈRITE]</v>
      </c>
      <c r="C4060">
        <v>702533</v>
      </c>
      <c r="D4060">
        <v>190</v>
      </c>
    </row>
    <row r="4061" spans="1:4" x14ac:dyDescent="0.25">
      <c r="A4061" t="str">
        <f>T("   290545")</f>
        <v xml:space="preserve">   290545</v>
      </c>
      <c r="B4061" t="str">
        <f>T("   Glycérol")</f>
        <v xml:space="preserve">   Glycérol</v>
      </c>
      <c r="C4061">
        <v>78059</v>
      </c>
      <c r="D4061">
        <v>2</v>
      </c>
    </row>
    <row r="4062" spans="1:4" x14ac:dyDescent="0.25">
      <c r="A4062" t="str">
        <f>T("   290911")</f>
        <v xml:space="preserve">   290911</v>
      </c>
      <c r="B4062" t="str">
        <f>T("   Ether diéthylique [oxyde de diéthyle]")</f>
        <v xml:space="preserve">   Ether diéthylique [oxyde de diéthyle]</v>
      </c>
      <c r="C4062">
        <v>7216873</v>
      </c>
      <c r="D4062">
        <v>966</v>
      </c>
    </row>
    <row r="4063" spans="1:4" x14ac:dyDescent="0.25">
      <c r="A4063" t="str">
        <f>T("   290949")</f>
        <v xml:space="preserve">   290949</v>
      </c>
      <c r="B4063" t="str">
        <f>T("   ÉTHERS-ALCOOLS ET LEURS DÉRIVÉS HALOGÉNÉS, SULFONÉS, NITRÉS OU NITROSÉS (À L'EXCL. DU 2,2'-OXYDIÉTHANOL [DIÉTHYLÈNE-GLYCOL] AINSI QUE DES ÉTHERS MONOALKYLIQUES DE L'ÉTHYLÈNE-GLYCOL OU DU DIÉTHYLÈNE-GLYCOL)")</f>
        <v xml:space="preserve">   ÉTHERS-ALCOOLS ET LEURS DÉRIVÉS HALOGÉNÉS, SULFONÉS, NITRÉS OU NITROSÉS (À L'EXCL. DU 2,2'-OXYDIÉTHANOL [DIÉTHYLÈNE-GLYCOL] AINSI QUE DES ÉTHERS MONOALKYLIQUES DE L'ÉTHYLÈNE-GLYCOL OU DU DIÉTHYLÈNE-GLYCOL)</v>
      </c>
      <c r="C4063">
        <v>519704</v>
      </c>
      <c r="D4063">
        <v>137</v>
      </c>
    </row>
    <row r="4064" spans="1:4" x14ac:dyDescent="0.25">
      <c r="A4064" t="str">
        <f>T("   291100")</f>
        <v xml:space="preserve">   291100</v>
      </c>
      <c r="B4064" t="str">
        <f>T("   Acétals et hémi-acétals, même contenant d'autres fonctions oxygénées, et leurs dérivés halogénés, sulfonés, nitrés ou nitrosés")</f>
        <v xml:space="preserve">   Acétals et hémi-acétals, même contenant d'autres fonctions oxygénées, et leurs dérivés halogénés, sulfonés, nitrés ou nitrosés</v>
      </c>
      <c r="C4064">
        <v>2795911</v>
      </c>
      <c r="D4064">
        <v>1313</v>
      </c>
    </row>
    <row r="4065" spans="1:4" x14ac:dyDescent="0.25">
      <c r="A4065" t="str">
        <f>T("   291211")</f>
        <v xml:space="preserve">   291211</v>
      </c>
      <c r="B4065" t="str">
        <f>T("   Méthanal [formaldéhyde]")</f>
        <v xml:space="preserve">   Méthanal [formaldéhyde]</v>
      </c>
      <c r="C4065">
        <v>361434</v>
      </c>
      <c r="D4065">
        <v>33</v>
      </c>
    </row>
    <row r="4066" spans="1:4" x14ac:dyDescent="0.25">
      <c r="A4066" t="str">
        <f>T("   291212")</f>
        <v xml:space="preserve">   291212</v>
      </c>
      <c r="B4066" t="str">
        <f>T("   ÉTHANAL [ACÉTALDÉHYDE]")</f>
        <v xml:space="preserve">   ÉTHANAL [ACÉTALDÉHYDE]</v>
      </c>
      <c r="C4066">
        <v>149369</v>
      </c>
      <c r="D4066">
        <v>100</v>
      </c>
    </row>
    <row r="4067" spans="1:4" x14ac:dyDescent="0.25">
      <c r="A4067" t="str">
        <f>T("   291413")</f>
        <v xml:space="preserve">   291413</v>
      </c>
      <c r="B4067" t="str">
        <f>T("   4-Méthylpentane-2-one [méthylisobutylcétone]")</f>
        <v xml:space="preserve">   4-Méthylpentane-2-one [méthylisobutylcétone]</v>
      </c>
      <c r="C4067">
        <v>3870164</v>
      </c>
      <c r="D4067">
        <v>5495</v>
      </c>
    </row>
    <row r="4068" spans="1:4" x14ac:dyDescent="0.25">
      <c r="A4068" t="str">
        <f>T("   291440")</f>
        <v xml:space="preserve">   291440</v>
      </c>
      <c r="B4068" t="str">
        <f>T("   Cétones-alcools et cétones-aldéhydes")</f>
        <v xml:space="preserve">   Cétones-alcools et cétones-aldéhydes</v>
      </c>
      <c r="C4068">
        <v>2551685</v>
      </c>
      <c r="D4068">
        <v>1255</v>
      </c>
    </row>
    <row r="4069" spans="1:4" x14ac:dyDescent="0.25">
      <c r="A4069" t="str">
        <f>T("   291450")</f>
        <v xml:space="preserve">   291450</v>
      </c>
      <c r="B4069" t="str">
        <f>T("   Cétones-phénols et cétones contenant d'autres fonctions oxygénées")</f>
        <v xml:space="preserve">   Cétones-phénols et cétones contenant d'autres fonctions oxygénées</v>
      </c>
      <c r="C4069">
        <v>2516918</v>
      </c>
      <c r="D4069">
        <v>1616</v>
      </c>
    </row>
    <row r="4070" spans="1:4" x14ac:dyDescent="0.25">
      <c r="A4070" t="str">
        <f>T("   291531")</f>
        <v xml:space="preserve">   291531</v>
      </c>
      <c r="B4070" t="str">
        <f>T("   Acétate d'éthyle")</f>
        <v xml:space="preserve">   Acétate d'éthyle</v>
      </c>
      <c r="C4070">
        <v>2871136</v>
      </c>
      <c r="D4070">
        <v>2304</v>
      </c>
    </row>
    <row r="4071" spans="1:4" x14ac:dyDescent="0.25">
      <c r="A4071" t="str">
        <f>T("   291533")</f>
        <v xml:space="preserve">   291533</v>
      </c>
      <c r="B4071" t="str">
        <f>T("   Acétate de n-butyle")</f>
        <v xml:space="preserve">   Acétate de n-butyle</v>
      </c>
      <c r="C4071">
        <v>2982650</v>
      </c>
      <c r="D4071">
        <v>1467</v>
      </c>
    </row>
    <row r="4072" spans="1:4" x14ac:dyDescent="0.25">
      <c r="A4072" t="str">
        <f>T("   291534")</f>
        <v xml:space="preserve">   291534</v>
      </c>
      <c r="B4072" t="str">
        <f>T("   Acétate d'isobutyle")</f>
        <v xml:space="preserve">   Acétate d'isobutyle</v>
      </c>
      <c r="C4072">
        <v>1067903</v>
      </c>
      <c r="D4072">
        <v>760</v>
      </c>
    </row>
    <row r="4073" spans="1:4" x14ac:dyDescent="0.25">
      <c r="A4073" t="str">
        <f>T("   291540")</f>
        <v xml:space="preserve">   291540</v>
      </c>
      <c r="B4073" t="str">
        <f>T("   Acides mono-, di- ou trichloroacétiques, leurs sels et leurs esters")</f>
        <v xml:space="preserve">   Acides mono-, di- ou trichloroacétiques, leurs sels et leurs esters</v>
      </c>
      <c r="C4073">
        <v>256481</v>
      </c>
      <c r="D4073">
        <v>23</v>
      </c>
    </row>
    <row r="4074" spans="1:4" x14ac:dyDescent="0.25">
      <c r="A4074" t="str">
        <f>T("   291590")</f>
        <v xml:space="preserve">   291590</v>
      </c>
      <c r="B4074" t="s">
        <v>69</v>
      </c>
      <c r="C4074">
        <v>27886171</v>
      </c>
      <c r="D4074">
        <v>1600</v>
      </c>
    </row>
    <row r="4075" spans="1:4" x14ac:dyDescent="0.25">
      <c r="A4075" t="str">
        <f>T("   291619")</f>
        <v xml:space="preserve">   291619</v>
      </c>
      <c r="B4075" t="s">
        <v>70</v>
      </c>
      <c r="C4075">
        <v>2118752</v>
      </c>
      <c r="D4075">
        <v>206</v>
      </c>
    </row>
    <row r="4076" spans="1:4" x14ac:dyDescent="0.25">
      <c r="A4076" t="str">
        <f>T("   291631")</f>
        <v xml:space="preserve">   291631</v>
      </c>
      <c r="B4076" t="str">
        <f>T("   Acide benzoïque, ses sels et ses esters")</f>
        <v xml:space="preserve">   Acide benzoïque, ses sels et ses esters</v>
      </c>
      <c r="C4076">
        <v>4924259</v>
      </c>
      <c r="D4076">
        <v>2013</v>
      </c>
    </row>
    <row r="4077" spans="1:4" x14ac:dyDescent="0.25">
      <c r="A4077" t="str">
        <f>T("   291639")</f>
        <v xml:space="preserve">   291639</v>
      </c>
      <c r="B4077" t="s">
        <v>71</v>
      </c>
      <c r="C4077">
        <v>10788574</v>
      </c>
      <c r="D4077">
        <v>21750</v>
      </c>
    </row>
    <row r="4078" spans="1:4" x14ac:dyDescent="0.25">
      <c r="A4078" t="str">
        <f>T("   291814")</f>
        <v xml:space="preserve">   291814</v>
      </c>
      <c r="B4078" t="str">
        <f>T("   Acide citrique")</f>
        <v xml:space="preserve">   Acide citrique</v>
      </c>
      <c r="C4078">
        <v>39339233</v>
      </c>
      <c r="D4078">
        <v>30733</v>
      </c>
    </row>
    <row r="4079" spans="1:4" x14ac:dyDescent="0.25">
      <c r="A4079" t="str">
        <f>T("   291819")</f>
        <v xml:space="preserve">   291819</v>
      </c>
      <c r="B4079" t="s">
        <v>72</v>
      </c>
      <c r="C4079">
        <v>6171927</v>
      </c>
      <c r="D4079">
        <v>2264</v>
      </c>
    </row>
    <row r="4080" spans="1:4" x14ac:dyDescent="0.25">
      <c r="A4080" t="str">
        <f>T("   292212")</f>
        <v xml:space="preserve">   292212</v>
      </c>
      <c r="B4080" t="str">
        <f>T("   Diéthanolamine et ses sels")</f>
        <v xml:space="preserve">   Diéthanolamine et ses sels</v>
      </c>
      <c r="C4080">
        <v>6969575</v>
      </c>
      <c r="D4080">
        <v>2880</v>
      </c>
    </row>
    <row r="4081" spans="1:4" x14ac:dyDescent="0.25">
      <c r="A4081" t="str">
        <f>T("   292910")</f>
        <v xml:space="preserve">   292910</v>
      </c>
      <c r="B4081" t="str">
        <f>T("   Isocyanates")</f>
        <v xml:space="preserve">   Isocyanates</v>
      </c>
      <c r="C4081">
        <v>254326843</v>
      </c>
      <c r="D4081">
        <v>179526</v>
      </c>
    </row>
    <row r="4082" spans="1:4" x14ac:dyDescent="0.25">
      <c r="A4082" t="str">
        <f>T("   292990")</f>
        <v xml:space="preserve">   292990</v>
      </c>
      <c r="B4082" t="s">
        <v>73</v>
      </c>
      <c r="C4082">
        <v>2637222</v>
      </c>
      <c r="D4082">
        <v>848</v>
      </c>
    </row>
    <row r="4083" spans="1:4" x14ac:dyDescent="0.25">
      <c r="A4083" t="str">
        <f>T("   293100")</f>
        <v xml:space="preserve">   293100</v>
      </c>
      <c r="B4083" t="str">
        <f>T("   COMPOSÉS ORGANO-INORGANIQUES DE CONSTITUTION CHIMIQUE DÉFINIE PRÉSENTÉS ISOLÉMENT (À L'EXCL. DES THIOCOMPOSÉS ORGANIQUES AINSI QUE DU MERCURE)")</f>
        <v xml:space="preserve">   COMPOSÉS ORGANO-INORGANIQUES DE CONSTITUTION CHIMIQUE DÉFINIE PRÉSENTÉS ISOLÉMENT (À L'EXCL. DES THIOCOMPOSÉS ORGANIQUES AINSI QUE DU MERCURE)</v>
      </c>
      <c r="C4083">
        <v>2507088</v>
      </c>
      <c r="D4083">
        <v>6082</v>
      </c>
    </row>
    <row r="4084" spans="1:4" x14ac:dyDescent="0.25">
      <c r="A4084" t="str">
        <f>T("   293369")</f>
        <v xml:space="preserve">   293369</v>
      </c>
      <c r="B4084" t="str">
        <f>T("   COMPOSÉS HÉTÉROCYCLIQUES À HÉTÉROATOME[S] D'AZOTE EXCLUSIVEMENT, DONT LA STRUCTURE COMPORTE UN CYCLE TRIAZINE, HYDROGÉNÉ OU NON, NON-CONDENSÉ (À L'EXCL. DE LA MÉLAMINE)")</f>
        <v xml:space="preserve">   COMPOSÉS HÉTÉROCYCLIQUES À HÉTÉROATOME[S] D'AZOTE EXCLUSIVEMENT, DONT LA STRUCTURE COMPORTE UN CYCLE TRIAZINE, HYDROGÉNÉ OU NON, NON-CONDENSÉ (À L'EXCL. DE LA MÉLAMINE)</v>
      </c>
      <c r="C4084">
        <v>266976</v>
      </c>
      <c r="D4084">
        <v>70</v>
      </c>
    </row>
    <row r="4085" spans="1:4" x14ac:dyDescent="0.25">
      <c r="A4085" t="str">
        <f>T("   293379")</f>
        <v xml:space="preserve">   293379</v>
      </c>
      <c r="B4085" t="str">
        <f>T("   Lactames (à l'excl. du 6-hexanelactame [epsilon-caprolactame], du clobazam [DCI] et du méthyprylone [DCI])")</f>
        <v xml:space="preserve">   Lactames (à l'excl. du 6-hexanelactame [epsilon-caprolactame], du clobazam [DCI] et du méthyprylone [DCI])</v>
      </c>
      <c r="C4085">
        <v>518864</v>
      </c>
      <c r="D4085">
        <v>137</v>
      </c>
    </row>
    <row r="4086" spans="1:4" x14ac:dyDescent="0.25">
      <c r="A4086" t="str">
        <f>T("   293626")</f>
        <v xml:space="preserve">   293626</v>
      </c>
      <c r="B4086" t="str">
        <f>T("   Vitamine B12 et ses dérivés utilisés principalement en tant que vitamines")</f>
        <v xml:space="preserve">   Vitamine B12 et ses dérivés utilisés principalement en tant que vitamines</v>
      </c>
      <c r="C4086">
        <v>9802956</v>
      </c>
      <c r="D4086">
        <v>635</v>
      </c>
    </row>
    <row r="4087" spans="1:4" x14ac:dyDescent="0.25">
      <c r="A4087" t="str">
        <f>T("   293627")</f>
        <v xml:space="preserve">   293627</v>
      </c>
      <c r="B4087" t="str">
        <f>T("   Vitamine C et ses dérivés utilisés principalement en tant que vitamines")</f>
        <v xml:space="preserve">   Vitamine C et ses dérivés utilisés principalement en tant que vitamines</v>
      </c>
      <c r="C4087">
        <v>24033736</v>
      </c>
      <c r="D4087">
        <v>8057</v>
      </c>
    </row>
    <row r="4088" spans="1:4" x14ac:dyDescent="0.25">
      <c r="A4088" t="str">
        <f>T("   293628")</f>
        <v xml:space="preserve">   293628</v>
      </c>
      <c r="B4088" t="str">
        <f>T("   Vitamine E et ses dérivés utilisés principalement en tant que vitamines")</f>
        <v xml:space="preserve">   Vitamine E et ses dérivés utilisés principalement en tant que vitamines</v>
      </c>
      <c r="C4088">
        <v>5728921</v>
      </c>
      <c r="D4088">
        <v>498</v>
      </c>
    </row>
    <row r="4089" spans="1:4" x14ac:dyDescent="0.25">
      <c r="A4089" t="str">
        <f>T("   293629")</f>
        <v xml:space="preserve">   293629</v>
      </c>
      <c r="B4089"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4089">
        <v>20360999</v>
      </c>
      <c r="D4089">
        <v>1746</v>
      </c>
    </row>
    <row r="4090" spans="1:4" x14ac:dyDescent="0.25">
      <c r="A4090" t="str">
        <f>T("   293690")</f>
        <v xml:space="preserve">   293690</v>
      </c>
      <c r="B4090" t="str">
        <f>T("   Mélanges de provitamines ou de vitamines, même en solutions quelconques, et concentrats naturels de vitamines")</f>
        <v xml:space="preserve">   Mélanges de provitamines ou de vitamines, même en solutions quelconques, et concentrats naturels de vitamines</v>
      </c>
      <c r="C4090">
        <v>12157940</v>
      </c>
      <c r="D4090">
        <v>2680</v>
      </c>
    </row>
    <row r="4091" spans="1:4" x14ac:dyDescent="0.25">
      <c r="A4091" t="str">
        <f>T("   300210")</f>
        <v xml:space="preserve">   300210</v>
      </c>
      <c r="B4091" t="str">
        <f>T("   Antisérums, autres fractions du sang, produits immunologiques modifiés, même obtenus par voie biotechnologique")</f>
        <v xml:space="preserve">   Antisérums, autres fractions du sang, produits immunologiques modifiés, même obtenus par voie biotechnologique</v>
      </c>
      <c r="C4091">
        <v>5000</v>
      </c>
      <c r="D4091">
        <v>7</v>
      </c>
    </row>
    <row r="4092" spans="1:4" x14ac:dyDescent="0.25">
      <c r="A4092" t="str">
        <f>T("   300220")</f>
        <v xml:space="preserve">   300220</v>
      </c>
      <c r="B4092" t="str">
        <f>T("   Vaccins pour la médecine humaine")</f>
        <v xml:space="preserve">   Vaccins pour la médecine humaine</v>
      </c>
      <c r="C4092">
        <v>559822900</v>
      </c>
      <c r="D4092">
        <v>7023</v>
      </c>
    </row>
    <row r="4093" spans="1:4" x14ac:dyDescent="0.25">
      <c r="A4093" t="str">
        <f>T("   300230")</f>
        <v xml:space="preserve">   300230</v>
      </c>
      <c r="B4093" t="str">
        <f>T("   Vaccins pour la médecine vétérinaire")</f>
        <v xml:space="preserve">   Vaccins pour la médecine vétérinaire</v>
      </c>
      <c r="C4093">
        <v>70671248</v>
      </c>
      <c r="D4093">
        <v>2926</v>
      </c>
    </row>
    <row r="4094" spans="1:4" x14ac:dyDescent="0.25">
      <c r="A4094" t="str">
        <f>T("   300390")</f>
        <v xml:space="preserve">   300390</v>
      </c>
      <c r="B4094" t="s">
        <v>77</v>
      </c>
      <c r="C4094">
        <v>118975721</v>
      </c>
      <c r="D4094">
        <v>6750.7</v>
      </c>
    </row>
    <row r="4095" spans="1:4" x14ac:dyDescent="0.25">
      <c r="A4095" t="str">
        <f>T("   300410")</f>
        <v xml:space="preserve">   300410</v>
      </c>
      <c r="B4095" t="s">
        <v>78</v>
      </c>
      <c r="C4095">
        <v>8253606530</v>
      </c>
      <c r="D4095">
        <v>703974</v>
      </c>
    </row>
    <row r="4096" spans="1:4" x14ac:dyDescent="0.25">
      <c r="A4096" t="str">
        <f>T("   300420")</f>
        <v xml:space="preserve">   300420</v>
      </c>
      <c r="B4096" t="s">
        <v>79</v>
      </c>
      <c r="C4096">
        <v>1180072</v>
      </c>
      <c r="D4096">
        <v>102</v>
      </c>
    </row>
    <row r="4097" spans="1:4" x14ac:dyDescent="0.25">
      <c r="A4097" t="str">
        <f>T("   300431")</f>
        <v xml:space="preserve">   300431</v>
      </c>
      <c r="B4097" t="str">
        <f>T("   Médicaments contenant de l'insuline, mais ne contenant pas d'antibiotiques, présentés sous forme de doses [y.c. ceux destinés à être administrés par voie percutanée] ou conditionnés pour la vente au détail")</f>
        <v xml:space="preserve">   Médicaments contenant de l'insuline, mais ne contenant pas d'antibiotiques, présentés sous forme de doses [y.c. ceux destinés à être administrés par voie percutanée] ou conditionnés pour la vente au détail</v>
      </c>
      <c r="C4097">
        <v>954422</v>
      </c>
      <c r="D4097">
        <v>61</v>
      </c>
    </row>
    <row r="4098" spans="1:4" x14ac:dyDescent="0.25">
      <c r="A4098" t="str">
        <f>T("   300439")</f>
        <v xml:space="preserve">   300439</v>
      </c>
      <c r="B4098" t="s">
        <v>81</v>
      </c>
      <c r="C4098">
        <v>2226984</v>
      </c>
      <c r="D4098">
        <v>1952</v>
      </c>
    </row>
    <row r="4099" spans="1:4" x14ac:dyDescent="0.25">
      <c r="A4099" t="str">
        <f>T("   300440")</f>
        <v xml:space="preserve">   300440</v>
      </c>
      <c r="B4099" t="s">
        <v>82</v>
      </c>
      <c r="C4099">
        <v>104094</v>
      </c>
      <c r="D4099">
        <v>3</v>
      </c>
    </row>
    <row r="4100" spans="1:4" x14ac:dyDescent="0.25">
      <c r="A4100" t="str">
        <f>T("   300450")</f>
        <v xml:space="preserve">   300450</v>
      </c>
      <c r="B4100" t="s">
        <v>83</v>
      </c>
      <c r="C4100">
        <v>7131073</v>
      </c>
      <c r="D4100">
        <v>857</v>
      </c>
    </row>
    <row r="4101" spans="1:4" x14ac:dyDescent="0.25">
      <c r="A4101" t="str">
        <f>T("   300490")</f>
        <v xml:space="preserve">   300490</v>
      </c>
      <c r="B4101" t="s">
        <v>84</v>
      </c>
      <c r="C4101">
        <v>21333991479</v>
      </c>
      <c r="D4101">
        <v>1807861.77</v>
      </c>
    </row>
    <row r="4102" spans="1:4" x14ac:dyDescent="0.25">
      <c r="A4102" t="str">
        <f>T("   300510")</f>
        <v xml:space="preserve">   300510</v>
      </c>
      <c r="B4102"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4102">
        <v>156033003</v>
      </c>
      <c r="D4102">
        <v>41471</v>
      </c>
    </row>
    <row r="4103" spans="1:4" x14ac:dyDescent="0.25">
      <c r="A4103" t="str">
        <f>T("   300590")</f>
        <v xml:space="preserve">   300590</v>
      </c>
      <c r="B4103" t="s">
        <v>85</v>
      </c>
      <c r="C4103">
        <v>125976919</v>
      </c>
      <c r="D4103">
        <v>32735</v>
      </c>
    </row>
    <row r="4104" spans="1:4" x14ac:dyDescent="0.25">
      <c r="A4104" t="str">
        <f>T("   300610")</f>
        <v xml:space="preserve">   300610</v>
      </c>
      <c r="B4104" t="s">
        <v>86</v>
      </c>
      <c r="C4104">
        <v>281705406</v>
      </c>
      <c r="D4104">
        <v>1327</v>
      </c>
    </row>
    <row r="4105" spans="1:4" x14ac:dyDescent="0.25">
      <c r="A4105" t="str">
        <f>T("   300620")</f>
        <v xml:space="preserve">   300620</v>
      </c>
      <c r="B4105" t="str">
        <f>T("   Réactifs destinés à la détermination des groupes ou des facteurs sanguins")</f>
        <v xml:space="preserve">   Réactifs destinés à la détermination des groupes ou des facteurs sanguins</v>
      </c>
      <c r="C4105">
        <v>305000</v>
      </c>
      <c r="D4105">
        <v>27</v>
      </c>
    </row>
    <row r="4106" spans="1:4" x14ac:dyDescent="0.25">
      <c r="A4106" t="str">
        <f>T("   300630")</f>
        <v xml:space="preserve">   300630</v>
      </c>
      <c r="B4106"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4106">
        <v>13191678</v>
      </c>
      <c r="D4106">
        <v>607.70000000000005</v>
      </c>
    </row>
    <row r="4107" spans="1:4" x14ac:dyDescent="0.25">
      <c r="A4107" t="str">
        <f>T("   300650")</f>
        <v xml:space="preserve">   300650</v>
      </c>
      <c r="B4107" t="str">
        <f>T("   Trousses et boîtes de pharmacie garnies, pour soins de première urgence")</f>
        <v xml:space="preserve">   Trousses et boîtes de pharmacie garnies, pour soins de première urgence</v>
      </c>
      <c r="C4107">
        <v>368488</v>
      </c>
      <c r="D4107">
        <v>22</v>
      </c>
    </row>
    <row r="4108" spans="1:4" x14ac:dyDescent="0.25">
      <c r="A4108" t="str">
        <f>T("   300660")</f>
        <v xml:space="preserve">   300660</v>
      </c>
      <c r="B4108"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4108">
        <v>409320</v>
      </c>
      <c r="D4108">
        <v>15</v>
      </c>
    </row>
    <row r="4109" spans="1:4" x14ac:dyDescent="0.25">
      <c r="A4109" t="str">
        <f>T("   300670")</f>
        <v xml:space="preserve">   300670</v>
      </c>
      <c r="B4109" t="s">
        <v>87</v>
      </c>
      <c r="C4109">
        <v>4382468</v>
      </c>
      <c r="D4109">
        <v>414</v>
      </c>
    </row>
    <row r="4110" spans="1:4" x14ac:dyDescent="0.25">
      <c r="A4110" t="str">
        <f>T("   300691")</f>
        <v xml:space="preserve">   300691</v>
      </c>
      <c r="B4110" t="str">
        <f>T("   APPAREILLAGES IDENTIFIABLES DE STOMIE")</f>
        <v xml:space="preserve">   APPAREILLAGES IDENTIFIABLES DE STOMIE</v>
      </c>
      <c r="C4110">
        <v>26195763</v>
      </c>
      <c r="D4110">
        <v>764</v>
      </c>
    </row>
    <row r="4111" spans="1:4" x14ac:dyDescent="0.25">
      <c r="A4111" t="str">
        <f>T("   310230")</f>
        <v xml:space="preserve">   310230</v>
      </c>
      <c r="B4111"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4111">
        <v>48954295</v>
      </c>
      <c r="D4111">
        <v>101360</v>
      </c>
    </row>
    <row r="4112" spans="1:4" x14ac:dyDescent="0.25">
      <c r="A4112" t="str">
        <f>T("   320300")</f>
        <v xml:space="preserve">   320300</v>
      </c>
      <c r="B4112" t="s">
        <v>91</v>
      </c>
      <c r="C4112">
        <v>2324066</v>
      </c>
      <c r="D4112">
        <v>210</v>
      </c>
    </row>
    <row r="4113" spans="1:4" x14ac:dyDescent="0.25">
      <c r="A4113" t="str">
        <f>T("   320411")</f>
        <v xml:space="preserve">   320411</v>
      </c>
      <c r="B4113" t="s">
        <v>92</v>
      </c>
      <c r="C4113">
        <v>62424222</v>
      </c>
      <c r="D4113">
        <v>25381</v>
      </c>
    </row>
    <row r="4114" spans="1:4" x14ac:dyDescent="0.25">
      <c r="A4114" t="str">
        <f>T("   320414")</f>
        <v xml:space="preserve">   320414</v>
      </c>
      <c r="B4114" t="s">
        <v>94</v>
      </c>
      <c r="C4114">
        <v>20864120</v>
      </c>
      <c r="D4114">
        <v>6524</v>
      </c>
    </row>
    <row r="4115" spans="1:4" x14ac:dyDescent="0.25">
      <c r="A4115" t="str">
        <f>T("   320419")</f>
        <v xml:space="preserve">   320419</v>
      </c>
      <c r="B4115" t="s">
        <v>97</v>
      </c>
      <c r="C4115">
        <v>36964637</v>
      </c>
      <c r="D4115">
        <v>81491</v>
      </c>
    </row>
    <row r="4116" spans="1:4" x14ac:dyDescent="0.25">
      <c r="A4116" t="str">
        <f>T("   320490")</f>
        <v xml:space="preserve">   320490</v>
      </c>
      <c r="B4116" t="str">
        <f>T("   Produits organiques synthétiques des types utilisés comme luminophores, même de constitution chimique définie")</f>
        <v xml:space="preserve">   Produits organiques synthétiques des types utilisés comme luminophores, même de constitution chimique définie</v>
      </c>
      <c r="C4116">
        <v>2947644</v>
      </c>
      <c r="D4116">
        <v>1641</v>
      </c>
    </row>
    <row r="4117" spans="1:4" x14ac:dyDescent="0.25">
      <c r="A4117" t="str">
        <f>T("   320649")</f>
        <v xml:space="preserve">   320649</v>
      </c>
      <c r="B4117" t="s">
        <v>100</v>
      </c>
      <c r="C4117">
        <v>1552001</v>
      </c>
      <c r="D4117">
        <v>312</v>
      </c>
    </row>
    <row r="4118" spans="1:4" x14ac:dyDescent="0.25">
      <c r="A4118" t="str">
        <f>T("   320710")</f>
        <v xml:space="preserve">   320710</v>
      </c>
      <c r="B4118" t="str">
        <f>T("   Pigments, opacifiants et couleurs préparés et préparations simil., des types utilisés pour la céramique, l'émaillerie ou la verrerie")</f>
        <v xml:space="preserve">   Pigments, opacifiants et couleurs préparés et préparations simil., des types utilisés pour la céramique, l'émaillerie ou la verrerie</v>
      </c>
      <c r="C4118">
        <v>2976746</v>
      </c>
      <c r="D4118">
        <v>778</v>
      </c>
    </row>
    <row r="4119" spans="1:4" x14ac:dyDescent="0.25">
      <c r="A4119" t="str">
        <f>T("   320810")</f>
        <v xml:space="preserve">   320810</v>
      </c>
      <c r="B4119"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4119">
        <v>1342094</v>
      </c>
      <c r="D4119">
        <v>796</v>
      </c>
    </row>
    <row r="4120" spans="1:4" x14ac:dyDescent="0.25">
      <c r="A4120" t="str">
        <f>T("   320820")</f>
        <v xml:space="preserve">   320820</v>
      </c>
      <c r="B4120" t="s">
        <v>101</v>
      </c>
      <c r="C4120">
        <v>270787</v>
      </c>
      <c r="D4120">
        <v>150</v>
      </c>
    </row>
    <row r="4121" spans="1:4" x14ac:dyDescent="0.25">
      <c r="A4121" t="str">
        <f>T("   320890")</f>
        <v xml:space="preserve">   320890</v>
      </c>
      <c r="B4121" t="s">
        <v>102</v>
      </c>
      <c r="C4121">
        <v>234566522</v>
      </c>
      <c r="D4121">
        <v>33368</v>
      </c>
    </row>
    <row r="4122" spans="1:4" x14ac:dyDescent="0.25">
      <c r="A4122" t="str">
        <f>T("   320910")</f>
        <v xml:space="preserve">   320910</v>
      </c>
      <c r="B4122" t="str">
        <f>T("   Peintures et vernis à base de polymères acryliques ou vinyliques, dispersés ou dissous dans un milieu aqueux")</f>
        <v xml:space="preserve">   Peintures et vernis à base de polymères acryliques ou vinyliques, dispersés ou dissous dans un milieu aqueux</v>
      </c>
      <c r="C4122">
        <v>2079065</v>
      </c>
      <c r="D4122">
        <v>11820</v>
      </c>
    </row>
    <row r="4123" spans="1:4" x14ac:dyDescent="0.25">
      <c r="A4123" t="str">
        <f>T("   320990")</f>
        <v xml:space="preserve">   320990</v>
      </c>
      <c r="B4123"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123">
        <v>2516262</v>
      </c>
      <c r="D4123">
        <v>2612</v>
      </c>
    </row>
    <row r="4124" spans="1:4" x14ac:dyDescent="0.25">
      <c r="A4124" t="str">
        <f>T("   321000")</f>
        <v xml:space="preserve">   321000</v>
      </c>
      <c r="B4124"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4124">
        <v>2100713</v>
      </c>
      <c r="D4124">
        <v>488</v>
      </c>
    </row>
    <row r="4125" spans="1:4" x14ac:dyDescent="0.25">
      <c r="A4125" t="str">
        <f>T("   321100")</f>
        <v xml:space="preserve">   321100</v>
      </c>
      <c r="B4125" t="str">
        <f>T("   Siccatifs préparés")</f>
        <v xml:space="preserve">   Siccatifs préparés</v>
      </c>
      <c r="C4125">
        <v>4566793</v>
      </c>
      <c r="D4125">
        <v>2247</v>
      </c>
    </row>
    <row r="4126" spans="1:4" x14ac:dyDescent="0.25">
      <c r="A4126" t="str">
        <f>T("   321310")</f>
        <v xml:space="preserve">   321310</v>
      </c>
      <c r="B4126" t="str">
        <f>T("   Couleurs en assortiments pour la peinture artistique, l'enseignement, la peinture des enseignes, la modification des nuances, l'amusement et couleurs simil., en pastilles, tubes, pots, flacons, godets ou conditionnements simil.")</f>
        <v xml:space="preserve">   Couleurs en assortiments pour la peinture artistique, l'enseignement, la peinture des enseignes, la modification des nuances, l'amusement et couleurs simil., en pastilles, tubes, pots, flacons, godets ou conditionnements simil.</v>
      </c>
      <c r="C4126">
        <v>1194634</v>
      </c>
      <c r="D4126">
        <v>2950</v>
      </c>
    </row>
    <row r="4127" spans="1:4" x14ac:dyDescent="0.25">
      <c r="A4127" t="str">
        <f>T("   321390")</f>
        <v xml:space="preserve">   321390</v>
      </c>
      <c r="B4127" t="str">
        <f>T("   Couleurs pour la peinture artistique, l'enseignement, la peinture des enseignes, la modification des nuances, l'amusement et couleurs simil., en pastilles, tubes, pots, flacons, godets ou conditionnements simil. (à l'excl. des couleurs en assortiments)")</f>
        <v xml:space="preserve">   Couleurs pour la peinture artistique, l'enseignement, la peinture des enseignes, la modification des nuances, l'amusement et couleurs simil., en pastilles, tubes, pots, flacons, godets ou conditionnements simil. (à l'excl. des couleurs en assortiments)</v>
      </c>
      <c r="C4127">
        <v>1924587</v>
      </c>
      <c r="D4127">
        <v>189</v>
      </c>
    </row>
    <row r="4128" spans="1:4" x14ac:dyDescent="0.25">
      <c r="A4128" t="str">
        <f>T("   321410")</f>
        <v xml:space="preserve">   321410</v>
      </c>
      <c r="B4128" t="str">
        <f>T("   Mastic de vitrier, ciments de résine et autres mastics; enduits utilisés en peinture")</f>
        <v xml:space="preserve">   Mastic de vitrier, ciments de résine et autres mastics; enduits utilisés en peinture</v>
      </c>
      <c r="C4128">
        <v>13262863</v>
      </c>
      <c r="D4128">
        <v>6490</v>
      </c>
    </row>
    <row r="4129" spans="1:4" x14ac:dyDescent="0.25">
      <c r="A4129" t="str">
        <f>T("   321490")</f>
        <v xml:space="preserve">   321490</v>
      </c>
      <c r="B4129" t="str">
        <f>T("   Enduits non réfractaires des types utilisés en maçonnerie")</f>
        <v xml:space="preserve">   Enduits non réfractaires des types utilisés en maçonnerie</v>
      </c>
      <c r="C4129">
        <v>4009884</v>
      </c>
      <c r="D4129">
        <v>5188</v>
      </c>
    </row>
    <row r="4130" spans="1:4" x14ac:dyDescent="0.25">
      <c r="A4130" t="str">
        <f>T("   321511")</f>
        <v xml:space="preserve">   321511</v>
      </c>
      <c r="B4130" t="str">
        <f>T("   Encres d'imprimerie, noires, même concentrées ou sous formes solides")</f>
        <v xml:space="preserve">   Encres d'imprimerie, noires, même concentrées ou sous formes solides</v>
      </c>
      <c r="C4130">
        <v>16747112</v>
      </c>
      <c r="D4130">
        <v>429</v>
      </c>
    </row>
    <row r="4131" spans="1:4" x14ac:dyDescent="0.25">
      <c r="A4131" t="str">
        <f>T("   321519")</f>
        <v xml:space="preserve">   321519</v>
      </c>
      <c r="B4131" t="str">
        <f>T("   Encres d'imprimerie, même concentrées ou sous formes solides (à l'excl. des encres noires)")</f>
        <v xml:space="preserve">   Encres d'imprimerie, même concentrées ou sous formes solides (à l'excl. des encres noires)</v>
      </c>
      <c r="C4131">
        <v>67599539</v>
      </c>
      <c r="D4131">
        <v>14349.1</v>
      </c>
    </row>
    <row r="4132" spans="1:4" x14ac:dyDescent="0.25">
      <c r="A4132" t="str">
        <f>T("   321590")</f>
        <v xml:space="preserve">   321590</v>
      </c>
      <c r="B4132" t="str">
        <f>T("   Encres à écrire et à dessiner, même concentrées ou sous formes solides")</f>
        <v xml:space="preserve">   Encres à écrire et à dessiner, même concentrées ou sous formes solides</v>
      </c>
      <c r="C4132">
        <v>66159497</v>
      </c>
      <c r="D4132">
        <v>14363.88</v>
      </c>
    </row>
    <row r="4133" spans="1:4" x14ac:dyDescent="0.25">
      <c r="A4133" t="str">
        <f>T("   330119")</f>
        <v xml:space="preserve">   330119</v>
      </c>
      <c r="B4133"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4133">
        <v>305277</v>
      </c>
      <c r="D4133">
        <v>765</v>
      </c>
    </row>
    <row r="4134" spans="1:4" x14ac:dyDescent="0.25">
      <c r="A4134" t="str">
        <f>T("   330129")</f>
        <v xml:space="preserve">   330129</v>
      </c>
      <c r="B4134"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4134">
        <v>194820</v>
      </c>
      <c r="D4134">
        <v>24</v>
      </c>
    </row>
    <row r="4135" spans="1:4" x14ac:dyDescent="0.25">
      <c r="A4135" t="str">
        <f>T("   330210")</f>
        <v xml:space="preserve">   330210</v>
      </c>
      <c r="B413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4135">
        <v>1307620831</v>
      </c>
      <c r="D4135">
        <v>229240</v>
      </c>
    </row>
    <row r="4136" spans="1:4" x14ac:dyDescent="0.25">
      <c r="A4136" t="str">
        <f>T("   330290")</f>
        <v xml:space="preserve">   330290</v>
      </c>
      <c r="B4136" t="s">
        <v>105</v>
      </c>
      <c r="C4136">
        <v>457847</v>
      </c>
      <c r="D4136">
        <v>90</v>
      </c>
    </row>
    <row r="4137" spans="1:4" x14ac:dyDescent="0.25">
      <c r="A4137" t="str">
        <f>T("   330300")</f>
        <v xml:space="preserve">   330300</v>
      </c>
      <c r="B4137"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4137">
        <v>166311004</v>
      </c>
      <c r="D4137">
        <v>28493</v>
      </c>
    </row>
    <row r="4138" spans="1:4" x14ac:dyDescent="0.25">
      <c r="A4138" t="str">
        <f>T("   330410")</f>
        <v xml:space="preserve">   330410</v>
      </c>
      <c r="B4138" t="str">
        <f>T("   Produits de maquillage pour les lèvres")</f>
        <v xml:space="preserve">   Produits de maquillage pour les lèvres</v>
      </c>
      <c r="C4138">
        <v>3254876</v>
      </c>
      <c r="D4138">
        <v>617</v>
      </c>
    </row>
    <row r="4139" spans="1:4" x14ac:dyDescent="0.25">
      <c r="A4139" t="str">
        <f>T("   330420")</f>
        <v xml:space="preserve">   330420</v>
      </c>
      <c r="B4139" t="str">
        <f>T("   Produits de maquillage pour les yeux")</f>
        <v xml:space="preserve">   Produits de maquillage pour les yeux</v>
      </c>
      <c r="C4139">
        <v>1392826</v>
      </c>
      <c r="D4139">
        <v>900</v>
      </c>
    </row>
    <row r="4140" spans="1:4" x14ac:dyDescent="0.25">
      <c r="A4140" t="str">
        <f>T("   330430")</f>
        <v xml:space="preserve">   330430</v>
      </c>
      <c r="B4140" t="str">
        <f>T("   Préparations pour manucures ou pédicures")</f>
        <v xml:space="preserve">   Préparations pour manucures ou pédicures</v>
      </c>
      <c r="C4140">
        <v>1656955</v>
      </c>
      <c r="D4140">
        <v>1431</v>
      </c>
    </row>
    <row r="4141" spans="1:4" x14ac:dyDescent="0.25">
      <c r="A4141" t="str">
        <f>T("   330491")</f>
        <v xml:space="preserve">   330491</v>
      </c>
      <c r="B4141"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4141">
        <v>19937806</v>
      </c>
      <c r="D4141">
        <v>2761</v>
      </c>
    </row>
    <row r="4142" spans="1:4" x14ac:dyDescent="0.25">
      <c r="A4142" t="str">
        <f>T("   330499")</f>
        <v xml:space="preserve">   330499</v>
      </c>
      <c r="B4142" t="s">
        <v>106</v>
      </c>
      <c r="C4142">
        <v>370888766</v>
      </c>
      <c r="D4142">
        <v>184920</v>
      </c>
    </row>
    <row r="4143" spans="1:4" x14ac:dyDescent="0.25">
      <c r="A4143" t="str">
        <f>T("   330510")</f>
        <v xml:space="preserve">   330510</v>
      </c>
      <c r="B4143" t="str">
        <f>T("   Shampooings")</f>
        <v xml:space="preserve">   Shampooings</v>
      </c>
      <c r="C4143">
        <v>8134966</v>
      </c>
      <c r="D4143">
        <v>20727</v>
      </c>
    </row>
    <row r="4144" spans="1:4" x14ac:dyDescent="0.25">
      <c r="A4144" t="str">
        <f>T("   330590")</f>
        <v xml:space="preserve">   330590</v>
      </c>
      <c r="B4144"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4144">
        <v>21453172</v>
      </c>
      <c r="D4144">
        <v>6079</v>
      </c>
    </row>
    <row r="4145" spans="1:4" x14ac:dyDescent="0.25">
      <c r="A4145" t="str">
        <f>T("   330610")</f>
        <v xml:space="preserve">   330610</v>
      </c>
      <c r="B4145" t="str">
        <f>T("   Dentifrices, préparés, même des types utilisés par les dentistes")</f>
        <v xml:space="preserve">   Dentifrices, préparés, même des types utilisés par les dentistes</v>
      </c>
      <c r="C4145">
        <v>369612884</v>
      </c>
      <c r="D4145">
        <v>86252</v>
      </c>
    </row>
    <row r="4146" spans="1:4" x14ac:dyDescent="0.25">
      <c r="A4146" t="str">
        <f>T("   330690")</f>
        <v xml:space="preserve">   330690</v>
      </c>
      <c r="B4146"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4146">
        <v>824783</v>
      </c>
      <c r="D4146">
        <v>1380</v>
      </c>
    </row>
    <row r="4147" spans="1:4" x14ac:dyDescent="0.25">
      <c r="A4147" t="str">
        <f>T("   330710")</f>
        <v xml:space="preserve">   330710</v>
      </c>
      <c r="B4147" t="str">
        <f>T("   Préparations pour le prérasage, le rasage ou l'après-rasage")</f>
        <v xml:space="preserve">   Préparations pour le prérasage, le rasage ou l'après-rasage</v>
      </c>
      <c r="C4147">
        <v>5495634</v>
      </c>
      <c r="D4147">
        <v>1857</v>
      </c>
    </row>
    <row r="4148" spans="1:4" x14ac:dyDescent="0.25">
      <c r="A4148" t="str">
        <f>T("   330720")</f>
        <v xml:space="preserve">   330720</v>
      </c>
      <c r="B4148" t="str">
        <f>T("   Désodorisants corporels et antisudoraux, préparés")</f>
        <v xml:space="preserve">   Désodorisants corporels et antisudoraux, préparés</v>
      </c>
      <c r="C4148">
        <v>88420358</v>
      </c>
      <c r="D4148">
        <v>29464</v>
      </c>
    </row>
    <row r="4149" spans="1:4" x14ac:dyDescent="0.25">
      <c r="A4149" t="str">
        <f>T("   330730")</f>
        <v xml:space="preserve">   330730</v>
      </c>
      <c r="B4149" t="str">
        <f>T("   Sels parfumés et autres préparations pour bains")</f>
        <v xml:space="preserve">   Sels parfumés et autres préparations pour bains</v>
      </c>
      <c r="C4149">
        <v>2866775</v>
      </c>
      <c r="D4149">
        <v>2421</v>
      </c>
    </row>
    <row r="4150" spans="1:4" x14ac:dyDescent="0.25">
      <c r="A4150" t="str">
        <f>T("   330741")</f>
        <v xml:space="preserve">   330741</v>
      </c>
      <c r="B4150" t="str">
        <f>T("   'Agarbatti' et autres préparations odoriférantes agissant par combustion")</f>
        <v xml:space="preserve">   'Agarbatti' et autres préparations odoriférantes agissant par combustion</v>
      </c>
      <c r="C4150">
        <v>135784</v>
      </c>
      <c r="D4150">
        <v>13</v>
      </c>
    </row>
    <row r="4151" spans="1:4" x14ac:dyDescent="0.25">
      <c r="A4151" t="str">
        <f>T("   330749")</f>
        <v xml:space="preserve">   330749</v>
      </c>
      <c r="B4151"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4151">
        <v>16616447</v>
      </c>
      <c r="D4151">
        <v>16103</v>
      </c>
    </row>
    <row r="4152" spans="1:4" x14ac:dyDescent="0.25">
      <c r="A4152" t="str">
        <f>T("   330790")</f>
        <v xml:space="preserve">   330790</v>
      </c>
      <c r="B4152" t="str">
        <f>T("   Dépilatoires, autres produits de parfumerie ou de toilette préparés et autres préparations cosmétiques, n.d.a.")</f>
        <v xml:space="preserve">   Dépilatoires, autres produits de parfumerie ou de toilette préparés et autres préparations cosmétiques, n.d.a.</v>
      </c>
      <c r="C4152">
        <v>27087529</v>
      </c>
      <c r="D4152">
        <v>43223</v>
      </c>
    </row>
    <row r="4153" spans="1:4" x14ac:dyDescent="0.25">
      <c r="A4153" t="str">
        <f>T("   340111")</f>
        <v xml:space="preserve">   340111</v>
      </c>
      <c r="B4153" t="s">
        <v>107</v>
      </c>
      <c r="C4153">
        <v>135603857</v>
      </c>
      <c r="D4153">
        <v>80369</v>
      </c>
    </row>
    <row r="4154" spans="1:4" x14ac:dyDescent="0.25">
      <c r="A4154" t="str">
        <f>T("   340119")</f>
        <v xml:space="preserve">   340119</v>
      </c>
      <c r="B4154" t="s">
        <v>108</v>
      </c>
      <c r="C4154">
        <v>42885520</v>
      </c>
      <c r="D4154">
        <v>21506</v>
      </c>
    </row>
    <row r="4155" spans="1:4" x14ac:dyDescent="0.25">
      <c r="A4155" t="str">
        <f>T("   340120")</f>
        <v xml:space="preserve">   340120</v>
      </c>
      <c r="B4155" t="str">
        <f>T("   Savons en flocons, en paillettes, en granulés ou en poudres et savons liquides ou pâteux")</f>
        <v xml:space="preserve">   Savons en flocons, en paillettes, en granulés ou en poudres et savons liquides ou pâteux</v>
      </c>
      <c r="C4155">
        <v>15498761</v>
      </c>
      <c r="D4155">
        <v>18573</v>
      </c>
    </row>
    <row r="4156" spans="1:4" x14ac:dyDescent="0.25">
      <c r="A4156" t="str">
        <f>T("   340130")</f>
        <v xml:space="preserve">   340130</v>
      </c>
      <c r="B4156"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4156">
        <v>18654079</v>
      </c>
      <c r="D4156">
        <v>13668</v>
      </c>
    </row>
    <row r="4157" spans="1:4" x14ac:dyDescent="0.25">
      <c r="A4157" t="str">
        <f>T("   340212")</f>
        <v xml:space="preserve">   340212</v>
      </c>
      <c r="B4157" t="str">
        <f>T("   Agents de surface organiques, cationiques, même conditionnés pour la vente au détail (à l'excl. des savons)")</f>
        <v xml:space="preserve">   Agents de surface organiques, cationiques, même conditionnés pour la vente au détail (à l'excl. des savons)</v>
      </c>
      <c r="C4157">
        <v>2162700</v>
      </c>
      <c r="D4157">
        <v>780</v>
      </c>
    </row>
    <row r="4158" spans="1:4" x14ac:dyDescent="0.25">
      <c r="A4158" t="str">
        <f>T("   340213")</f>
        <v xml:space="preserve">   340213</v>
      </c>
      <c r="B4158" t="str">
        <f>T("   Agents de surface organiques, non ioniques, même conditionnés pour la vente au détail (à l'excl. des savons)")</f>
        <v xml:space="preserve">   Agents de surface organiques, non ioniques, même conditionnés pour la vente au détail (à l'excl. des savons)</v>
      </c>
      <c r="C4158">
        <v>6390500</v>
      </c>
      <c r="D4158">
        <v>6309</v>
      </c>
    </row>
    <row r="4159" spans="1:4" x14ac:dyDescent="0.25">
      <c r="A4159" t="str">
        <f>T("   340219")</f>
        <v xml:space="preserve">   340219</v>
      </c>
      <c r="B4159"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4159">
        <v>12483462</v>
      </c>
      <c r="D4159">
        <v>21143</v>
      </c>
    </row>
    <row r="4160" spans="1:4" x14ac:dyDescent="0.25">
      <c r="A4160" t="str">
        <f>T("   340220")</f>
        <v xml:space="preserve">   340220</v>
      </c>
      <c r="B4160" t="s">
        <v>109</v>
      </c>
      <c r="C4160">
        <v>146434326</v>
      </c>
      <c r="D4160">
        <v>208715</v>
      </c>
    </row>
    <row r="4161" spans="1:4" x14ac:dyDescent="0.25">
      <c r="A4161" t="str">
        <f>T("   340290")</f>
        <v xml:space="preserve">   340290</v>
      </c>
      <c r="B4161" t="s">
        <v>110</v>
      </c>
      <c r="C4161">
        <v>90506872</v>
      </c>
      <c r="D4161">
        <v>64562</v>
      </c>
    </row>
    <row r="4162" spans="1:4" x14ac:dyDescent="0.25">
      <c r="A4162" t="str">
        <f>T("   340319")</f>
        <v xml:space="preserve">   340319</v>
      </c>
      <c r="B4162" t="s">
        <v>111</v>
      </c>
      <c r="C4162">
        <v>11478848</v>
      </c>
      <c r="D4162">
        <v>2271</v>
      </c>
    </row>
    <row r="4163" spans="1:4" x14ac:dyDescent="0.25">
      <c r="A4163" t="str">
        <f>T("   340391")</f>
        <v xml:space="preserve">   340391</v>
      </c>
      <c r="B4163" t="str">
        <f>T("   Préparations des types utilisés pour l'ensimage des matières textiles, l'huilage ou le graissage du cuir, des pelleteries ou d'autres matières, ne contenant pas d'huiles de pétrole ou de minéraux bitumineux")</f>
        <v xml:space="preserve">   Préparations des types utilisés pour l'ensimage des matières textiles, l'huilage ou le graissage du cuir, des pelleteries ou d'autres matières, ne contenant pas d'huiles de pétrole ou de minéraux bitumineux</v>
      </c>
      <c r="C4163">
        <v>2128157</v>
      </c>
      <c r="D4163">
        <v>445</v>
      </c>
    </row>
    <row r="4164" spans="1:4" x14ac:dyDescent="0.25">
      <c r="A4164" t="str">
        <f>T("   340399")</f>
        <v xml:space="preserve">   340399</v>
      </c>
      <c r="B4164" t="s">
        <v>112</v>
      </c>
      <c r="C4164">
        <v>187652023</v>
      </c>
      <c r="D4164">
        <v>127784</v>
      </c>
    </row>
    <row r="4165" spans="1:4" x14ac:dyDescent="0.25">
      <c r="A4165" t="str">
        <f>T("   340490")</f>
        <v xml:space="preserve">   340490</v>
      </c>
      <c r="B4165" t="s">
        <v>113</v>
      </c>
      <c r="C4165">
        <v>94786</v>
      </c>
      <c r="D4165">
        <v>480</v>
      </c>
    </row>
    <row r="4166" spans="1:4" x14ac:dyDescent="0.25">
      <c r="A4166" t="str">
        <f>T("   340520")</f>
        <v xml:space="preserve">   340520</v>
      </c>
      <c r="B4166" t="s">
        <v>115</v>
      </c>
      <c r="C4166">
        <v>9491086</v>
      </c>
      <c r="D4166">
        <v>2451</v>
      </c>
    </row>
    <row r="4167" spans="1:4" x14ac:dyDescent="0.25">
      <c r="A4167" t="str">
        <f>T("   340530")</f>
        <v xml:space="preserve">   340530</v>
      </c>
      <c r="B4167" t="s">
        <v>116</v>
      </c>
      <c r="C4167">
        <v>3632629</v>
      </c>
      <c r="D4167">
        <v>1306</v>
      </c>
    </row>
    <row r="4168" spans="1:4" x14ac:dyDescent="0.25">
      <c r="A4168" t="str">
        <f>T("   340540")</f>
        <v xml:space="preserve">   340540</v>
      </c>
      <c r="B4168"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4168">
        <v>4669879</v>
      </c>
      <c r="D4168">
        <v>7919</v>
      </c>
    </row>
    <row r="4169" spans="1:4" x14ac:dyDescent="0.25">
      <c r="A4169" t="str">
        <f>T("   340590")</f>
        <v xml:space="preserve">   340590</v>
      </c>
      <c r="B4169"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4169">
        <v>4242302</v>
      </c>
      <c r="D4169">
        <v>2016</v>
      </c>
    </row>
    <row r="4170" spans="1:4" x14ac:dyDescent="0.25">
      <c r="A4170" t="str">
        <f>T("   340600")</f>
        <v xml:space="preserve">   340600</v>
      </c>
      <c r="B4170" t="str">
        <f>T("   Bougies, chandelles, cierges et articles simil.")</f>
        <v xml:space="preserve">   Bougies, chandelles, cierges et articles simil.</v>
      </c>
      <c r="C4170">
        <v>22834541</v>
      </c>
      <c r="D4170">
        <v>5955</v>
      </c>
    </row>
    <row r="4171" spans="1:4" x14ac:dyDescent="0.25">
      <c r="A4171" t="str">
        <f>T("   340700")</f>
        <v xml:space="preserve">   340700</v>
      </c>
      <c r="B4171" t="s">
        <v>117</v>
      </c>
      <c r="C4171">
        <v>177455</v>
      </c>
      <c r="D4171">
        <v>10.1</v>
      </c>
    </row>
    <row r="4172" spans="1:4" x14ac:dyDescent="0.25">
      <c r="A4172" t="str">
        <f>T("   350190")</f>
        <v xml:space="preserve">   350190</v>
      </c>
      <c r="B4172"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4172">
        <v>43221205</v>
      </c>
      <c r="D4172">
        <v>13518</v>
      </c>
    </row>
    <row r="4173" spans="1:4" x14ac:dyDescent="0.25">
      <c r="A4173" t="str">
        <f>T("   350510")</f>
        <v xml:space="preserve">   350510</v>
      </c>
      <c r="B4173" t="str">
        <f>T("   DEXTRINE ET AUTRES AMIDONS ET FÉCULES MODIFIÉS [LES AMIDONS ET FÉCULES PRÉ-GÉLATINISÉS OU ESTÉRIFIÉS, P.EX.]")</f>
        <v xml:space="preserve">   DEXTRINE ET AUTRES AMIDONS ET FÉCULES MODIFIÉS [LES AMIDONS ET FÉCULES PRÉ-GÉLATINISÉS OU ESTÉRIFIÉS, P.EX.]</v>
      </c>
      <c r="C4173">
        <v>1293554</v>
      </c>
      <c r="D4173">
        <v>1367</v>
      </c>
    </row>
    <row r="4174" spans="1:4" x14ac:dyDescent="0.25">
      <c r="A4174" t="str">
        <f>T("   350520")</f>
        <v xml:space="preserve">   350520</v>
      </c>
      <c r="B4174"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4174">
        <v>560846</v>
      </c>
      <c r="D4174">
        <v>279</v>
      </c>
    </row>
    <row r="4175" spans="1:4" x14ac:dyDescent="0.25">
      <c r="A4175" t="str">
        <f>T("   350610")</f>
        <v xml:space="preserve">   350610</v>
      </c>
      <c r="B4175"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4175">
        <v>9609377</v>
      </c>
      <c r="D4175">
        <v>8736</v>
      </c>
    </row>
    <row r="4176" spans="1:4" x14ac:dyDescent="0.25">
      <c r="A4176" t="str">
        <f>T("   350691")</f>
        <v xml:space="preserve">   350691</v>
      </c>
      <c r="B4176"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4176">
        <v>159946320</v>
      </c>
      <c r="D4176">
        <v>62265</v>
      </c>
    </row>
    <row r="4177" spans="1:4" x14ac:dyDescent="0.25">
      <c r="A4177" t="str">
        <f>T("   350699")</f>
        <v xml:space="preserve">   350699</v>
      </c>
      <c r="B4177" t="str">
        <f>T("   Colles et autres adhésifs préparés, n.d.a.")</f>
        <v xml:space="preserve">   Colles et autres adhésifs préparés, n.d.a.</v>
      </c>
      <c r="C4177">
        <v>5895790</v>
      </c>
      <c r="D4177">
        <v>2936</v>
      </c>
    </row>
    <row r="4178" spans="1:4" x14ac:dyDescent="0.25">
      <c r="A4178" t="str">
        <f>T("   350790")</f>
        <v xml:space="preserve">   350790</v>
      </c>
      <c r="B4178" t="str">
        <f>T("   Enzymes et enzymes préparées, n.d.a. (à l'excl. de la présure et de ses concentrats)")</f>
        <v xml:space="preserve">   Enzymes et enzymes préparées, n.d.a. (à l'excl. de la présure et de ses concentrats)</v>
      </c>
      <c r="C4178">
        <v>77771620</v>
      </c>
      <c r="D4178">
        <v>5536</v>
      </c>
    </row>
    <row r="4179" spans="1:4" x14ac:dyDescent="0.25">
      <c r="A4179" t="str">
        <f>T("   360200")</f>
        <v xml:space="preserve">   360200</v>
      </c>
      <c r="B4179" t="str">
        <f>T("   Explosifs préparés (à l'excl. des poudres propulsives)")</f>
        <v xml:space="preserve">   Explosifs préparés (à l'excl. des poudres propulsives)</v>
      </c>
      <c r="C4179">
        <v>17528563</v>
      </c>
      <c r="D4179">
        <v>66727</v>
      </c>
    </row>
    <row r="4180" spans="1:4" x14ac:dyDescent="0.25">
      <c r="A4180" t="str">
        <f>T("   360300")</f>
        <v xml:space="preserve">   360300</v>
      </c>
      <c r="B4180"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4180">
        <v>70156497</v>
      </c>
      <c r="D4180">
        <v>2637</v>
      </c>
    </row>
    <row r="4181" spans="1:4" x14ac:dyDescent="0.25">
      <c r="A4181" t="str">
        <f>T("   360500")</f>
        <v xml:space="preserve">   360500</v>
      </c>
      <c r="B4181" t="str">
        <f>T("   Allumettes (autres que les articles de pyrotechnie du n° 3604)")</f>
        <v xml:space="preserve">   Allumettes (autres que les articles de pyrotechnie du n° 3604)</v>
      </c>
      <c r="C4181">
        <v>51821</v>
      </c>
      <c r="D4181">
        <v>281</v>
      </c>
    </row>
    <row r="4182" spans="1:4" x14ac:dyDescent="0.25">
      <c r="A4182" t="str">
        <f>T("   370191")</f>
        <v xml:space="preserve">   370191</v>
      </c>
      <c r="B4182" t="s">
        <v>120</v>
      </c>
      <c r="C4182">
        <v>2400814</v>
      </c>
      <c r="D4182">
        <v>300</v>
      </c>
    </row>
    <row r="4183" spans="1:4" x14ac:dyDescent="0.25">
      <c r="A4183" t="str">
        <f>T("   370199")</f>
        <v xml:space="preserve">   370199</v>
      </c>
      <c r="B4183" t="s">
        <v>121</v>
      </c>
      <c r="C4183">
        <v>65596</v>
      </c>
      <c r="D4183">
        <v>8</v>
      </c>
    </row>
    <row r="4184" spans="1:4" x14ac:dyDescent="0.25">
      <c r="A4184" t="str">
        <f>T("   370320")</f>
        <v xml:space="preserve">   370320</v>
      </c>
      <c r="B4184"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4184">
        <v>8957843</v>
      </c>
      <c r="D4184">
        <v>27813</v>
      </c>
    </row>
    <row r="4185" spans="1:4" x14ac:dyDescent="0.25">
      <c r="A4185" t="str">
        <f>T("   370400")</f>
        <v xml:space="preserve">   370400</v>
      </c>
      <c r="B4185" t="str">
        <f>T("   PLAQUES, PELLICULES, FILMS, PAPIERS, CARTONS ET TEXTILES, PHOTOGRAPHIQUES, IMPRESSIONNÉS MAIS NON-DÉVELOPPÉS")</f>
        <v xml:space="preserve">   PLAQUES, PELLICULES, FILMS, PAPIERS, CARTONS ET TEXTILES, PHOTOGRAPHIQUES, IMPRESSIONNÉS MAIS NON-DÉVELOPPÉS</v>
      </c>
      <c r="C4185">
        <v>7196270</v>
      </c>
      <c r="D4185">
        <v>1282.06</v>
      </c>
    </row>
    <row r="4186" spans="1:4" x14ac:dyDescent="0.25">
      <c r="A4186" t="str">
        <f>T("   370510")</f>
        <v xml:space="preserve">   370510</v>
      </c>
      <c r="B4186"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4186">
        <v>3431326</v>
      </c>
      <c r="D4186">
        <v>500</v>
      </c>
    </row>
    <row r="4187" spans="1:4" x14ac:dyDescent="0.25">
      <c r="A4187" t="str">
        <f>T("   370590")</f>
        <v xml:space="preserve">   370590</v>
      </c>
      <c r="B4187"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4187">
        <v>13860435</v>
      </c>
      <c r="D4187">
        <v>2359</v>
      </c>
    </row>
    <row r="4188" spans="1:4" x14ac:dyDescent="0.25">
      <c r="A4188" t="str">
        <f>T("   370790")</f>
        <v xml:space="preserve">   370790</v>
      </c>
      <c r="B4188" t="s">
        <v>124</v>
      </c>
      <c r="C4188">
        <v>4506419</v>
      </c>
      <c r="D4188">
        <v>2110</v>
      </c>
    </row>
    <row r="4189" spans="1:4" x14ac:dyDescent="0.25">
      <c r="A4189" t="str">
        <f>T("   380290")</f>
        <v xml:space="preserve">   380290</v>
      </c>
      <c r="B4189"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4189">
        <v>6650792</v>
      </c>
      <c r="D4189">
        <v>11059</v>
      </c>
    </row>
    <row r="4190" spans="1:4" x14ac:dyDescent="0.25">
      <c r="A4190" t="str">
        <f>T("   380510")</f>
        <v xml:space="preserve">   380510</v>
      </c>
      <c r="B4190" t="str">
        <f>T("   Essences de térébenthine, de bois de pin ou de papeterie au sulfate")</f>
        <v xml:space="preserve">   Essences de térébenthine, de bois de pin ou de papeterie au sulfate</v>
      </c>
      <c r="C4190">
        <v>2328658</v>
      </c>
      <c r="D4190">
        <v>90</v>
      </c>
    </row>
    <row r="4191" spans="1:4" x14ac:dyDescent="0.25">
      <c r="A4191" t="str">
        <f>T("   380810")</f>
        <v xml:space="preserve">   380810</v>
      </c>
      <c r="B4191"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4191">
        <v>199589</v>
      </c>
      <c r="D4191">
        <v>98</v>
      </c>
    </row>
    <row r="4192" spans="1:4" x14ac:dyDescent="0.25">
      <c r="A4192" t="str">
        <f>T("   380840")</f>
        <v xml:space="preserve">   380840</v>
      </c>
      <c r="B4192"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4192">
        <v>16896539</v>
      </c>
      <c r="D4192">
        <v>5962</v>
      </c>
    </row>
    <row r="4193" spans="1:4" x14ac:dyDescent="0.25">
      <c r="A4193" t="str">
        <f>T("   380850")</f>
        <v xml:space="preserve">   380850</v>
      </c>
      <c r="B4193" t="s">
        <v>125</v>
      </c>
      <c r="C4193">
        <v>44630656</v>
      </c>
      <c r="D4193">
        <v>19988</v>
      </c>
    </row>
    <row r="4194" spans="1:4" x14ac:dyDescent="0.25">
      <c r="A4194" t="str">
        <f>T("   380890")</f>
        <v xml:space="preserve">   380890</v>
      </c>
      <c r="B4194"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4194">
        <v>952323</v>
      </c>
      <c r="D4194">
        <v>158</v>
      </c>
    </row>
    <row r="4195" spans="1:4" x14ac:dyDescent="0.25">
      <c r="A4195" t="str">
        <f>T("   380891")</f>
        <v xml:space="preserve">   380891</v>
      </c>
      <c r="B4195" t="str">
        <f>T("   INSECTICIDES (À L'EXCL. DES MARCHANDISES DU N° 3808.50)")</f>
        <v xml:space="preserve">   INSECTICIDES (À L'EXCL. DES MARCHANDISES DU N° 3808.50)</v>
      </c>
      <c r="C4195">
        <v>14515083</v>
      </c>
      <c r="D4195">
        <v>4271</v>
      </c>
    </row>
    <row r="4196" spans="1:4" x14ac:dyDescent="0.25">
      <c r="A4196" t="str">
        <f>T("   380892")</f>
        <v xml:space="preserve">   380892</v>
      </c>
      <c r="B4196" t="str">
        <f>T("   FONGICIDES (À L'EXCL. DES MARCHANDISES DU N° 3808.50)")</f>
        <v xml:space="preserve">   FONGICIDES (À L'EXCL. DES MARCHANDISES DU N° 3808.50)</v>
      </c>
      <c r="C4196">
        <v>50000</v>
      </c>
      <c r="D4196">
        <v>81</v>
      </c>
    </row>
    <row r="4197" spans="1:4" x14ac:dyDescent="0.25">
      <c r="A4197" t="str">
        <f>T("   380899")</f>
        <v xml:space="preserve">   380899</v>
      </c>
      <c r="B4197" t="s">
        <v>126</v>
      </c>
      <c r="C4197">
        <v>1240421</v>
      </c>
      <c r="D4197">
        <v>724</v>
      </c>
    </row>
    <row r="4198" spans="1:4" x14ac:dyDescent="0.25">
      <c r="A4198" t="str">
        <f>T("   380910")</f>
        <v xml:space="preserve">   380910</v>
      </c>
      <c r="B4198" t="s">
        <v>127</v>
      </c>
      <c r="C4198">
        <v>326667</v>
      </c>
      <c r="D4198">
        <v>231</v>
      </c>
    </row>
    <row r="4199" spans="1:4" x14ac:dyDescent="0.25">
      <c r="A4199" t="str">
        <f>T("   380991")</f>
        <v xml:space="preserve">   380991</v>
      </c>
      <c r="B4199" t="s">
        <v>128</v>
      </c>
      <c r="C4199">
        <v>1905564</v>
      </c>
      <c r="D4199">
        <v>2300</v>
      </c>
    </row>
    <row r="4200" spans="1:4" x14ac:dyDescent="0.25">
      <c r="A4200" t="str">
        <f>T("   381010")</f>
        <v xml:space="preserve">   381010</v>
      </c>
      <c r="B4200"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4200">
        <v>771993</v>
      </c>
      <c r="D4200">
        <v>173</v>
      </c>
    </row>
    <row r="4201" spans="1:4" x14ac:dyDescent="0.25">
      <c r="A4201" t="str">
        <f>T("   381119")</f>
        <v xml:space="preserve">   381119</v>
      </c>
      <c r="B4201" t="str">
        <f>T("   Préparations antidétonantes pour essences (à l'excl. des préparations à base de composés du plomb)")</f>
        <v xml:space="preserve">   Préparations antidétonantes pour essences (à l'excl. des préparations à base de composés du plomb)</v>
      </c>
      <c r="C4201">
        <v>1843904</v>
      </c>
      <c r="D4201">
        <v>646</v>
      </c>
    </row>
    <row r="4202" spans="1:4" x14ac:dyDescent="0.25">
      <c r="A4202" t="str">
        <f>T("   381121")</f>
        <v xml:space="preserve">   381121</v>
      </c>
      <c r="B4202" t="str">
        <f>T("   Additifs préparés pour huiles lubrifiantes, contenant des huiles de pétrole ou de minéraux bitumineux")</f>
        <v xml:space="preserve">   Additifs préparés pour huiles lubrifiantes, contenant des huiles de pétrole ou de minéraux bitumineux</v>
      </c>
      <c r="C4202">
        <v>2303076</v>
      </c>
      <c r="D4202">
        <v>2384</v>
      </c>
    </row>
    <row r="4203" spans="1:4" x14ac:dyDescent="0.25">
      <c r="A4203" t="str">
        <f>T("   381190")</f>
        <v xml:space="preserve">   381190</v>
      </c>
      <c r="B4203" t="s">
        <v>131</v>
      </c>
      <c r="C4203">
        <v>13028968</v>
      </c>
      <c r="D4203">
        <v>25615</v>
      </c>
    </row>
    <row r="4204" spans="1:4" x14ac:dyDescent="0.25">
      <c r="A4204" t="str">
        <f>T("   381220")</f>
        <v xml:space="preserve">   381220</v>
      </c>
      <c r="B4204" t="str">
        <f>T("   Plastifiants composites pour caoutchouc ou matières plastiques, n.d.a.")</f>
        <v xml:space="preserve">   Plastifiants composites pour caoutchouc ou matières plastiques, n.d.a.</v>
      </c>
      <c r="C4204">
        <v>9599437</v>
      </c>
      <c r="D4204">
        <v>2975</v>
      </c>
    </row>
    <row r="4205" spans="1:4" x14ac:dyDescent="0.25">
      <c r="A4205" t="str">
        <f>T("   381300")</f>
        <v xml:space="preserve">   381300</v>
      </c>
      <c r="B4205" t="s">
        <v>132</v>
      </c>
      <c r="C4205">
        <v>1574960</v>
      </c>
      <c r="D4205">
        <v>2090</v>
      </c>
    </row>
    <row r="4206" spans="1:4" x14ac:dyDescent="0.25">
      <c r="A4206" t="str">
        <f>T("   381400")</f>
        <v xml:space="preserve">   381400</v>
      </c>
      <c r="B420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4206">
        <v>2493213</v>
      </c>
      <c r="D4206">
        <v>298</v>
      </c>
    </row>
    <row r="4207" spans="1:4" x14ac:dyDescent="0.25">
      <c r="A4207" t="str">
        <f>T("   381590")</f>
        <v xml:space="preserve">   381590</v>
      </c>
      <c r="B4207" t="str">
        <f>T("   Initiateurs de réaction, accélérateurs de réaction et préparations catalytiques, n.d.a. (à l'excl. des accélérateurs de vulcanisation et des catalyseurs supportés)")</f>
        <v xml:space="preserve">   Initiateurs de réaction, accélérateurs de réaction et préparations catalytiques, n.d.a. (à l'excl. des accélérateurs de vulcanisation et des catalyseurs supportés)</v>
      </c>
      <c r="C4207">
        <v>182357</v>
      </c>
      <c r="D4207">
        <v>180</v>
      </c>
    </row>
    <row r="4208" spans="1:4" x14ac:dyDescent="0.25">
      <c r="A4208" t="str">
        <f>T("   381900")</f>
        <v xml:space="preserve">   381900</v>
      </c>
      <c r="B4208"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4208">
        <v>364503</v>
      </c>
      <c r="D4208">
        <v>40</v>
      </c>
    </row>
    <row r="4209" spans="1:4" x14ac:dyDescent="0.25">
      <c r="A4209" t="str">
        <f>T("   382000")</f>
        <v xml:space="preserve">   382000</v>
      </c>
      <c r="B4209"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4209">
        <v>2350305</v>
      </c>
      <c r="D4209">
        <v>6481</v>
      </c>
    </row>
    <row r="4210" spans="1:4" x14ac:dyDescent="0.25">
      <c r="A4210" t="str">
        <f>T("   382100")</f>
        <v xml:space="preserve">   382100</v>
      </c>
      <c r="B4210" t="str">
        <f>T("   Milieux de culture préparés pour le développement des micro-organismes")</f>
        <v xml:space="preserve">   Milieux de culture préparés pour le développement des micro-organismes</v>
      </c>
      <c r="C4210">
        <v>21587642</v>
      </c>
      <c r="D4210">
        <v>466</v>
      </c>
    </row>
    <row r="4211" spans="1:4" x14ac:dyDescent="0.25">
      <c r="A4211" t="str">
        <f>T("   382200")</f>
        <v xml:space="preserve">   382200</v>
      </c>
      <c r="B4211" t="s">
        <v>133</v>
      </c>
      <c r="C4211">
        <v>431948596</v>
      </c>
      <c r="D4211">
        <v>8329.7999999999993</v>
      </c>
    </row>
    <row r="4212" spans="1:4" x14ac:dyDescent="0.25">
      <c r="A4212" t="str">
        <f>T("   382440")</f>
        <v xml:space="preserve">   382440</v>
      </c>
      <c r="B4212" t="str">
        <f>T("   Additifs préparés pour ciments, mortiers ou bétons")</f>
        <v xml:space="preserve">   Additifs préparés pour ciments, mortiers ou bétons</v>
      </c>
      <c r="C4212">
        <v>122789153</v>
      </c>
      <c r="D4212">
        <v>156531</v>
      </c>
    </row>
    <row r="4213" spans="1:4" x14ac:dyDescent="0.25">
      <c r="A4213" t="str">
        <f>T("   382450")</f>
        <v xml:space="preserve">   382450</v>
      </c>
      <c r="B4213" t="str">
        <f>T("   MORTIERS ET BÉTONS, NON-RÉFRACTAIRES")</f>
        <v xml:space="preserve">   MORTIERS ET BÉTONS, NON-RÉFRACTAIRES</v>
      </c>
      <c r="C4213">
        <v>1570518</v>
      </c>
      <c r="D4213">
        <v>1012</v>
      </c>
    </row>
    <row r="4214" spans="1:4" x14ac:dyDescent="0.25">
      <c r="A4214" t="str">
        <f>T("   382478")</f>
        <v xml:space="preserve">   382478</v>
      </c>
      <c r="B4214" t="str">
        <f>T("   MÉLANGES CONTENANT DES PERFLUOROCARBURES [PFC] OU DES HYDROFLUOROCARBURES [HFC], MAIS NE CONTENANT PAS DE CHLOROFLUOROCARBURES [CFC] OU D'HYDROCHLOROFLUOROCARBURES [HCFC]")</f>
        <v xml:space="preserve">   MÉLANGES CONTENANT DES PERFLUOROCARBURES [PFC] OU DES HYDROFLUOROCARBURES [HFC], MAIS NE CONTENANT PAS DE CHLOROFLUOROCARBURES [CFC] OU D'HYDROCHLOROFLUOROCARBURES [HCFC]</v>
      </c>
      <c r="C4214">
        <v>6695842</v>
      </c>
      <c r="D4214">
        <v>2460</v>
      </c>
    </row>
    <row r="4215" spans="1:4" x14ac:dyDescent="0.25">
      <c r="A4215" t="str">
        <f>T("   382490")</f>
        <v xml:space="preserve">   382490</v>
      </c>
      <c r="B4215"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4215">
        <v>336591629</v>
      </c>
      <c r="D4215">
        <v>51181</v>
      </c>
    </row>
    <row r="4216" spans="1:4" x14ac:dyDescent="0.25">
      <c r="A4216" t="str">
        <f>T("   382569")</f>
        <v xml:space="preserve">   382569</v>
      </c>
      <c r="B4216" t="s">
        <v>134</v>
      </c>
      <c r="C4216">
        <v>5976928</v>
      </c>
      <c r="D4216">
        <v>2612</v>
      </c>
    </row>
    <row r="4217" spans="1:4" x14ac:dyDescent="0.25">
      <c r="A4217" t="str">
        <f>T("   382590")</f>
        <v xml:space="preserve">   382590</v>
      </c>
      <c r="B4217" t="str">
        <f>T("   Produits résiduaires des industries chimiques ou des industries connexes, n.d.a. (à l'excl. des déchets)")</f>
        <v xml:space="preserve">   Produits résiduaires des industries chimiques ou des industries connexes, n.d.a. (à l'excl. des déchets)</v>
      </c>
      <c r="C4217">
        <v>887448</v>
      </c>
      <c r="D4217">
        <v>1000</v>
      </c>
    </row>
    <row r="4218" spans="1:4" x14ac:dyDescent="0.25">
      <c r="A4218" t="str">
        <f>T("   390120")</f>
        <v xml:space="preserve">   390120</v>
      </c>
      <c r="B4218" t="str">
        <f>T("   Polyéthylène d'une densité &gt;= 0,94, sous formes primaires")</f>
        <v xml:space="preserve">   Polyéthylène d'une densité &gt;= 0,94, sous formes primaires</v>
      </c>
      <c r="C4218">
        <v>37615284</v>
      </c>
      <c r="D4218">
        <v>66460</v>
      </c>
    </row>
    <row r="4219" spans="1:4" x14ac:dyDescent="0.25">
      <c r="A4219" t="str">
        <f>T("   390190")</f>
        <v xml:space="preserve">   390190</v>
      </c>
      <c r="B4219"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4219">
        <v>21326129</v>
      </c>
      <c r="D4219">
        <v>40000</v>
      </c>
    </row>
    <row r="4220" spans="1:4" x14ac:dyDescent="0.25">
      <c r="A4220" t="str">
        <f>T("   390210")</f>
        <v xml:space="preserve">   390210</v>
      </c>
      <c r="B4220" t="str">
        <f>T("   Polypropylène, sous formes primaires")</f>
        <v xml:space="preserve">   Polypropylène, sous formes primaires</v>
      </c>
      <c r="C4220">
        <v>43026942</v>
      </c>
      <c r="D4220">
        <v>51204</v>
      </c>
    </row>
    <row r="4221" spans="1:4" x14ac:dyDescent="0.25">
      <c r="A4221" t="str">
        <f>T("   390311")</f>
        <v xml:space="preserve">   390311</v>
      </c>
      <c r="B4221" t="str">
        <f>T("   Polystyrène expansible, sous formes primaires")</f>
        <v xml:space="preserve">   Polystyrène expansible, sous formes primaires</v>
      </c>
      <c r="C4221">
        <v>497434</v>
      </c>
      <c r="D4221">
        <v>625</v>
      </c>
    </row>
    <row r="4222" spans="1:4" x14ac:dyDescent="0.25">
      <c r="A4222" t="str">
        <f>T("   390319")</f>
        <v xml:space="preserve">   390319</v>
      </c>
      <c r="B4222" t="str">
        <f>T("   Polystyrène sous formes primaires (à l'excl. du polystyrène expansible)")</f>
        <v xml:space="preserve">   Polystyrène sous formes primaires (à l'excl. du polystyrène expansible)</v>
      </c>
      <c r="C4222">
        <v>1301477</v>
      </c>
      <c r="D4222">
        <v>80</v>
      </c>
    </row>
    <row r="4223" spans="1:4" x14ac:dyDescent="0.25">
      <c r="A4223" t="str">
        <f>T("   390390")</f>
        <v xml:space="preserve">   390390</v>
      </c>
      <c r="B4223"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4223">
        <v>4886246</v>
      </c>
      <c r="D4223">
        <v>750</v>
      </c>
    </row>
    <row r="4224" spans="1:4" x14ac:dyDescent="0.25">
      <c r="A4224" t="str">
        <f>T("   390521")</f>
        <v xml:space="preserve">   390521</v>
      </c>
      <c r="B4224" t="str">
        <f>T("   Copolymères d'acétate de vinyle, en dispersion aqueuse")</f>
        <v xml:space="preserve">   Copolymères d'acétate de vinyle, en dispersion aqueuse</v>
      </c>
      <c r="C4224">
        <v>64784479</v>
      </c>
      <c r="D4224">
        <v>78140</v>
      </c>
    </row>
    <row r="4225" spans="1:4" x14ac:dyDescent="0.25">
      <c r="A4225" t="str">
        <f>T("   390690")</f>
        <v xml:space="preserve">   390690</v>
      </c>
      <c r="B4225" t="str">
        <f>T("   Polymères acryliques, sous formes primaires (à l'excl. du poly[méthacrylate de méthyle])")</f>
        <v xml:space="preserve">   Polymères acryliques, sous formes primaires (à l'excl. du poly[méthacrylate de méthyle])</v>
      </c>
      <c r="C4225">
        <v>689414</v>
      </c>
      <c r="D4225">
        <v>500</v>
      </c>
    </row>
    <row r="4226" spans="1:4" x14ac:dyDescent="0.25">
      <c r="A4226" t="str">
        <f>T("   390720")</f>
        <v xml:space="preserve">   390720</v>
      </c>
      <c r="B4226" t="str">
        <f>T("   Polyéthers, sous formes primaires (à l'excl. des polyacétals)")</f>
        <v xml:space="preserve">   Polyéthers, sous formes primaires (à l'excl. des polyacétals)</v>
      </c>
      <c r="C4226">
        <v>486649506</v>
      </c>
      <c r="D4226">
        <v>424800</v>
      </c>
    </row>
    <row r="4227" spans="1:4" x14ac:dyDescent="0.25">
      <c r="A4227" t="str">
        <f>T("   390730")</f>
        <v xml:space="preserve">   390730</v>
      </c>
      <c r="B4227" t="str">
        <f>T("   Résines époxydes, sous formes primaires")</f>
        <v xml:space="preserve">   Résines époxydes, sous formes primaires</v>
      </c>
      <c r="C4227">
        <v>20368388</v>
      </c>
      <c r="D4227">
        <v>6816</v>
      </c>
    </row>
    <row r="4228" spans="1:4" x14ac:dyDescent="0.25">
      <c r="A4228" t="str">
        <f>T("   390750")</f>
        <v xml:space="preserve">   390750</v>
      </c>
      <c r="B4228" t="str">
        <f>T("   Résines alkydes, sous formes primaires")</f>
        <v xml:space="preserve">   Résines alkydes, sous formes primaires</v>
      </c>
      <c r="C4228">
        <v>4478894</v>
      </c>
      <c r="D4228">
        <v>4422</v>
      </c>
    </row>
    <row r="4229" spans="1:4" x14ac:dyDescent="0.25">
      <c r="A4229" t="str">
        <f>T("   390791")</f>
        <v xml:space="preserve">   390791</v>
      </c>
      <c r="B4229" t="str">
        <f>T("   POLYESTERS ALLYLIQUES ET AUTRES POLYESTERS, NON-SATURÉS, SOUS FORMES PRIMAIRES (À L'EXCL. DES POLYCARBONATES, DES RÉSINES ALKYDES, DU POLY[ÉTHYLÈNE TÉRÉPHTALATE] ET DU POLY[ACIDE LACTIQUE])")</f>
        <v xml:space="preserve">   POLYESTERS ALLYLIQUES ET AUTRES POLYESTERS, NON-SATURÉS, SOUS FORMES PRIMAIRES (À L'EXCL. DES POLYCARBONATES, DES RÉSINES ALKYDES, DU POLY[ÉTHYLÈNE TÉRÉPHTALATE] ET DU POLY[ACIDE LACTIQUE])</v>
      </c>
      <c r="C4229">
        <v>635074</v>
      </c>
      <c r="D4229">
        <v>963</v>
      </c>
    </row>
    <row r="4230" spans="1:4" x14ac:dyDescent="0.25">
      <c r="A4230" t="str">
        <f>T("   390799")</f>
        <v xml:space="preserve">   390799</v>
      </c>
      <c r="B4230"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4230">
        <v>72299255</v>
      </c>
      <c r="D4230">
        <v>88003</v>
      </c>
    </row>
    <row r="4231" spans="1:4" x14ac:dyDescent="0.25">
      <c r="A4231" t="str">
        <f>T("   390930")</f>
        <v xml:space="preserve">   390930</v>
      </c>
      <c r="B4231"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4231">
        <v>290883064</v>
      </c>
      <c r="D4231">
        <v>534786</v>
      </c>
    </row>
    <row r="4232" spans="1:4" x14ac:dyDescent="0.25">
      <c r="A4232" t="str">
        <f>T("   390950")</f>
        <v xml:space="preserve">   390950</v>
      </c>
      <c r="B4232" t="str">
        <f>T("   Polyuréthannes, sous formes primaires")</f>
        <v xml:space="preserve">   Polyuréthannes, sous formes primaires</v>
      </c>
      <c r="C4232">
        <v>24417589</v>
      </c>
      <c r="D4232">
        <v>8595</v>
      </c>
    </row>
    <row r="4233" spans="1:4" x14ac:dyDescent="0.25">
      <c r="A4233" t="str">
        <f>T("   391000")</f>
        <v xml:space="preserve">   391000</v>
      </c>
      <c r="B4233" t="str">
        <f>T("   Silicones sous formes primaires")</f>
        <v xml:space="preserve">   Silicones sous formes primaires</v>
      </c>
      <c r="C4233">
        <v>40302838</v>
      </c>
      <c r="D4233">
        <v>24461</v>
      </c>
    </row>
    <row r="4234" spans="1:4" x14ac:dyDescent="0.25">
      <c r="A4234" t="str">
        <f>T("   391110")</f>
        <v xml:space="preserve">   391110</v>
      </c>
      <c r="B4234"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4234">
        <v>12890926</v>
      </c>
      <c r="D4234">
        <v>6342</v>
      </c>
    </row>
    <row r="4235" spans="1:4" x14ac:dyDescent="0.25">
      <c r="A4235" t="str">
        <f>T("   391190")</f>
        <v xml:space="preserve">   391190</v>
      </c>
      <c r="B4235"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4235">
        <v>6436786</v>
      </c>
      <c r="D4235">
        <v>502</v>
      </c>
    </row>
    <row r="4236" spans="1:4" x14ac:dyDescent="0.25">
      <c r="A4236" t="str">
        <f>T("   391290")</f>
        <v xml:space="preserve">   391290</v>
      </c>
      <c r="B4236" t="str">
        <f>T("   Cellulose et ses dérivés chimiques, n.d.a., sous formes primaires (à l'excl. des acétates, nitrates et éthers de cellulose)")</f>
        <v xml:space="preserve">   Cellulose et ses dérivés chimiques, n.d.a., sous formes primaires (à l'excl. des acétates, nitrates et éthers de cellulose)</v>
      </c>
      <c r="C4236">
        <v>917689</v>
      </c>
      <c r="D4236">
        <v>305</v>
      </c>
    </row>
    <row r="4237" spans="1:4" x14ac:dyDescent="0.25">
      <c r="A4237" t="str">
        <f>T("   391721")</f>
        <v xml:space="preserve">   391721</v>
      </c>
      <c r="B4237" t="str">
        <f>T("   TUBES ET TUYAUX RIGIDES, EN POLYMÈRES DE L'ÉTHYLÈNE")</f>
        <v xml:space="preserve">   TUBES ET TUYAUX RIGIDES, EN POLYMÈRES DE L'ÉTHYLÈNE</v>
      </c>
      <c r="C4237">
        <v>6949634</v>
      </c>
      <c r="D4237">
        <v>1826</v>
      </c>
    </row>
    <row r="4238" spans="1:4" x14ac:dyDescent="0.25">
      <c r="A4238" t="str">
        <f>T("   391722")</f>
        <v xml:space="preserve">   391722</v>
      </c>
      <c r="B4238" t="str">
        <f>T("   TUBES ET TUYAUX RIGIDES, EN POLYMÈRES DU PROPYLÈNE")</f>
        <v xml:space="preserve">   TUBES ET TUYAUX RIGIDES, EN POLYMÈRES DU PROPYLÈNE</v>
      </c>
      <c r="C4238">
        <v>1979326</v>
      </c>
      <c r="D4238">
        <v>1025</v>
      </c>
    </row>
    <row r="4239" spans="1:4" x14ac:dyDescent="0.25">
      <c r="A4239" t="str">
        <f>T("   391723")</f>
        <v xml:space="preserve">   391723</v>
      </c>
      <c r="B4239" t="str">
        <f>T("   TUBES ET TUYAUX RIGIDES, EN POLYMÈRES DU CHLORURE DE VINYLE")</f>
        <v xml:space="preserve">   TUBES ET TUYAUX RIGIDES, EN POLYMÈRES DU CHLORURE DE VINYLE</v>
      </c>
      <c r="C4239">
        <v>3481180</v>
      </c>
      <c r="D4239">
        <v>2002</v>
      </c>
    </row>
    <row r="4240" spans="1:4" x14ac:dyDescent="0.25">
      <c r="A4240" t="str">
        <f>T("   391729")</f>
        <v xml:space="preserve">   391729</v>
      </c>
      <c r="B4240"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240">
        <v>2029889</v>
      </c>
      <c r="D4240">
        <v>647.52</v>
      </c>
    </row>
    <row r="4241" spans="1:4" x14ac:dyDescent="0.25">
      <c r="A4241" t="str">
        <f>T("   391733")</f>
        <v xml:space="preserve">   391733</v>
      </c>
      <c r="B4241" t="str">
        <f>T("   Tubes et tuyaux souples, en matières plastiques, non renforcés d'autres matières ni autrement associés à d'autres matières, munis d'accessoires")</f>
        <v xml:space="preserve">   Tubes et tuyaux souples, en matières plastiques, non renforcés d'autres matières ni autrement associés à d'autres matières, munis d'accessoires</v>
      </c>
      <c r="C4241">
        <v>2652367</v>
      </c>
      <c r="D4241">
        <v>1424.1</v>
      </c>
    </row>
    <row r="4242" spans="1:4" x14ac:dyDescent="0.25">
      <c r="A4242" t="str">
        <f>T("   391739")</f>
        <v xml:space="preserve">   391739</v>
      </c>
      <c r="B4242"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242">
        <v>14878885</v>
      </c>
      <c r="D4242">
        <v>7173</v>
      </c>
    </row>
    <row r="4243" spans="1:4" x14ac:dyDescent="0.25">
      <c r="A4243" t="str">
        <f>T("   391740")</f>
        <v xml:space="preserve">   391740</v>
      </c>
      <c r="B4243" t="str">
        <f>T("   Accessoires pour tubes ou tuyaux [joints, coudes, raccords, par exemple], en matières plastiques")</f>
        <v xml:space="preserve">   Accessoires pour tubes ou tuyaux [joints, coudes, raccords, par exemple], en matières plastiques</v>
      </c>
      <c r="C4243">
        <v>368094366</v>
      </c>
      <c r="D4243">
        <v>105132</v>
      </c>
    </row>
    <row r="4244" spans="1:4" x14ac:dyDescent="0.25">
      <c r="A4244" t="str">
        <f>T("   391810")</f>
        <v xml:space="preserve">   391810</v>
      </c>
      <c r="B4244" t="s">
        <v>137</v>
      </c>
      <c r="C4244">
        <v>4870109</v>
      </c>
      <c r="D4244">
        <v>11946</v>
      </c>
    </row>
    <row r="4245" spans="1:4" x14ac:dyDescent="0.25">
      <c r="A4245" t="str">
        <f>T("   391910")</f>
        <v xml:space="preserve">   391910</v>
      </c>
      <c r="B4245"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4245">
        <v>11782582</v>
      </c>
      <c r="D4245">
        <v>2678</v>
      </c>
    </row>
    <row r="4246" spans="1:4" x14ac:dyDescent="0.25">
      <c r="A4246" t="str">
        <f>T("   391990")</f>
        <v xml:space="preserve">   391990</v>
      </c>
      <c r="B4246" t="s">
        <v>139</v>
      </c>
      <c r="C4246">
        <v>14005290</v>
      </c>
      <c r="D4246">
        <v>2049</v>
      </c>
    </row>
    <row r="4247" spans="1:4" x14ac:dyDescent="0.25">
      <c r="A4247" t="str">
        <f>T("   392010")</f>
        <v xml:space="preserve">   392010</v>
      </c>
      <c r="B4247" t="s">
        <v>140</v>
      </c>
      <c r="C4247">
        <v>106473070</v>
      </c>
      <c r="D4247">
        <v>51048</v>
      </c>
    </row>
    <row r="4248" spans="1:4" x14ac:dyDescent="0.25">
      <c r="A4248" t="str">
        <f>T("   392020")</f>
        <v xml:space="preserve">   392020</v>
      </c>
      <c r="B4248" t="s">
        <v>141</v>
      </c>
      <c r="C4248">
        <v>3759964</v>
      </c>
      <c r="D4248">
        <v>994</v>
      </c>
    </row>
    <row r="4249" spans="1:4" x14ac:dyDescent="0.25">
      <c r="A4249" t="str">
        <f>T("   392043")</f>
        <v xml:space="preserve">   392043</v>
      </c>
      <c r="B4249" t="s">
        <v>142</v>
      </c>
      <c r="C4249">
        <v>3413668</v>
      </c>
      <c r="D4249">
        <v>700</v>
      </c>
    </row>
    <row r="4250" spans="1:4" x14ac:dyDescent="0.25">
      <c r="A4250" t="str">
        <f>T("   392049")</f>
        <v xml:space="preserve">   392049</v>
      </c>
      <c r="B4250" t="s">
        <v>143</v>
      </c>
      <c r="C4250">
        <v>11279959</v>
      </c>
      <c r="D4250">
        <v>6090</v>
      </c>
    </row>
    <row r="4251" spans="1:4" x14ac:dyDescent="0.25">
      <c r="A4251" t="str">
        <f>T("   392069")</f>
        <v xml:space="preserve">   392069</v>
      </c>
      <c r="B4251" t="s">
        <v>147</v>
      </c>
      <c r="C4251">
        <v>1012153</v>
      </c>
      <c r="D4251">
        <v>148</v>
      </c>
    </row>
    <row r="4252" spans="1:4" x14ac:dyDescent="0.25">
      <c r="A4252" t="str">
        <f>T("   392091")</f>
        <v xml:space="preserve">   392091</v>
      </c>
      <c r="B4252" t="s">
        <v>149</v>
      </c>
      <c r="C4252">
        <v>31486</v>
      </c>
      <c r="D4252">
        <v>4</v>
      </c>
    </row>
    <row r="4253" spans="1:4" x14ac:dyDescent="0.25">
      <c r="A4253" t="str">
        <f>T("   392099")</f>
        <v xml:space="preserve">   392099</v>
      </c>
      <c r="B4253" t="s">
        <v>150</v>
      </c>
      <c r="C4253">
        <v>6615024</v>
      </c>
      <c r="D4253">
        <v>1038.7</v>
      </c>
    </row>
    <row r="4254" spans="1:4" x14ac:dyDescent="0.25">
      <c r="A4254" t="str">
        <f>T("   392112")</f>
        <v xml:space="preserve">   392112</v>
      </c>
      <c r="B4254" t="s">
        <v>152</v>
      </c>
      <c r="C4254">
        <v>2307011</v>
      </c>
      <c r="D4254">
        <v>900</v>
      </c>
    </row>
    <row r="4255" spans="1:4" x14ac:dyDescent="0.25">
      <c r="A4255" t="str">
        <f>T("   392113")</f>
        <v xml:space="preserve">   392113</v>
      </c>
      <c r="B4255" t="s">
        <v>153</v>
      </c>
      <c r="C4255">
        <v>5069914</v>
      </c>
      <c r="D4255">
        <v>279</v>
      </c>
    </row>
    <row r="4256" spans="1:4" x14ac:dyDescent="0.25">
      <c r="A4256" t="str">
        <f>T("   392119")</f>
        <v xml:space="preserve">   392119</v>
      </c>
      <c r="B4256" t="s">
        <v>154</v>
      </c>
      <c r="C4256">
        <v>50707469</v>
      </c>
      <c r="D4256">
        <v>6892</v>
      </c>
    </row>
    <row r="4257" spans="1:4" x14ac:dyDescent="0.25">
      <c r="A4257" t="str">
        <f>T("   392190")</f>
        <v xml:space="preserve">   392190</v>
      </c>
      <c r="B4257" t="s">
        <v>155</v>
      </c>
      <c r="C4257">
        <v>64608124</v>
      </c>
      <c r="D4257">
        <v>10583</v>
      </c>
    </row>
    <row r="4258" spans="1:4" x14ac:dyDescent="0.25">
      <c r="A4258" t="str">
        <f>T("   392210")</f>
        <v xml:space="preserve">   392210</v>
      </c>
      <c r="B4258" t="str">
        <f>T("   Baignoires, douches, éviers et lavabos, en matières plastiques")</f>
        <v xml:space="preserve">   Baignoires, douches, éviers et lavabos, en matières plastiques</v>
      </c>
      <c r="C4258">
        <v>22302</v>
      </c>
      <c r="D4258">
        <v>300</v>
      </c>
    </row>
    <row r="4259" spans="1:4" x14ac:dyDescent="0.25">
      <c r="A4259" t="str">
        <f>T("   392290")</f>
        <v xml:space="preserve">   392290</v>
      </c>
      <c r="B4259"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4259">
        <v>20191846</v>
      </c>
      <c r="D4259">
        <v>7056</v>
      </c>
    </row>
    <row r="4260" spans="1:4" x14ac:dyDescent="0.25">
      <c r="A4260" t="str">
        <f>T("   392310")</f>
        <v xml:space="preserve">   392310</v>
      </c>
      <c r="B4260" t="str">
        <f>T("   Boîtes, caisses, casiers et articles simil. pour le transport ou l'emballage, en matières plastiques")</f>
        <v xml:space="preserve">   Boîtes, caisses, casiers et articles simil. pour le transport ou l'emballage, en matières plastiques</v>
      </c>
      <c r="C4260">
        <v>14469815</v>
      </c>
      <c r="D4260">
        <v>5823</v>
      </c>
    </row>
    <row r="4261" spans="1:4" x14ac:dyDescent="0.25">
      <c r="A4261" t="str">
        <f>T("   392321")</f>
        <v xml:space="preserve">   392321</v>
      </c>
      <c r="B4261" t="str">
        <f>T("   Sacs, sachets, pochettes et cornets, en polymères de l'éthylène")</f>
        <v xml:space="preserve">   Sacs, sachets, pochettes et cornets, en polymères de l'éthylène</v>
      </c>
      <c r="C4261">
        <v>4158369</v>
      </c>
      <c r="D4261">
        <v>1760</v>
      </c>
    </row>
    <row r="4262" spans="1:4" x14ac:dyDescent="0.25">
      <c r="A4262" t="str">
        <f>T("   392329")</f>
        <v xml:space="preserve">   392329</v>
      </c>
      <c r="B4262" t="str">
        <f>T("   Sacs, sachets, pochettes et cornets, en matières plastiques (autres que les polymères de l'éthylène)")</f>
        <v xml:space="preserve">   Sacs, sachets, pochettes et cornets, en matières plastiques (autres que les polymères de l'éthylène)</v>
      </c>
      <c r="C4262">
        <v>32141500</v>
      </c>
      <c r="D4262">
        <v>28258</v>
      </c>
    </row>
    <row r="4263" spans="1:4" x14ac:dyDescent="0.25">
      <c r="A4263" t="str">
        <f>T("   392330")</f>
        <v xml:space="preserve">   392330</v>
      </c>
      <c r="B4263" t="str">
        <f>T("   Bonbonnes, bouteilles, flacons et articles simil. pour le transport ou l'emballage, en matières plastiques")</f>
        <v xml:space="preserve">   Bonbonnes, bouteilles, flacons et articles simil. pour le transport ou l'emballage, en matières plastiques</v>
      </c>
      <c r="C4263">
        <v>850921</v>
      </c>
      <c r="D4263">
        <v>101</v>
      </c>
    </row>
    <row r="4264" spans="1:4" x14ac:dyDescent="0.25">
      <c r="A4264" t="str">
        <f>T("   392340")</f>
        <v xml:space="preserve">   392340</v>
      </c>
      <c r="B4264" t="str">
        <f>T("   Bobines, fusettes, canettes et supports simil., en matières plastiques")</f>
        <v xml:space="preserve">   Bobines, fusettes, canettes et supports simil., en matières plastiques</v>
      </c>
      <c r="C4264">
        <v>1190132</v>
      </c>
      <c r="D4264">
        <v>4619</v>
      </c>
    </row>
    <row r="4265" spans="1:4" x14ac:dyDescent="0.25">
      <c r="A4265" t="str">
        <f>T("   392350")</f>
        <v xml:space="preserve">   392350</v>
      </c>
      <c r="B4265" t="str">
        <f>T("   Bouchons, couvercles, capsules et autres dispositifs de fermeture, en matières plastiques")</f>
        <v xml:space="preserve">   Bouchons, couvercles, capsules et autres dispositifs de fermeture, en matières plastiques</v>
      </c>
      <c r="C4265">
        <v>8140588</v>
      </c>
      <c r="D4265">
        <v>3235</v>
      </c>
    </row>
    <row r="4266" spans="1:4" x14ac:dyDescent="0.25">
      <c r="A4266" t="str">
        <f>T("   392390")</f>
        <v xml:space="preserve">   392390</v>
      </c>
      <c r="B4266" t="s">
        <v>156</v>
      </c>
      <c r="C4266">
        <v>361659452</v>
      </c>
      <c r="D4266">
        <v>263451</v>
      </c>
    </row>
    <row r="4267" spans="1:4" x14ac:dyDescent="0.25">
      <c r="A4267" t="str">
        <f>T("   392410")</f>
        <v xml:space="preserve">   392410</v>
      </c>
      <c r="B4267" t="str">
        <f>T("   Vaisselle et autres articles pour le service de la table ou de la cuisine, en matières plastiques")</f>
        <v xml:space="preserve">   Vaisselle et autres articles pour le service de la table ou de la cuisine, en matières plastiques</v>
      </c>
      <c r="C4267">
        <v>38904310</v>
      </c>
      <c r="D4267">
        <v>28720</v>
      </c>
    </row>
    <row r="4268" spans="1:4" x14ac:dyDescent="0.25">
      <c r="A4268" t="str">
        <f>T("   392490")</f>
        <v xml:space="preserve">   392490</v>
      </c>
      <c r="B4268" t="s">
        <v>157</v>
      </c>
      <c r="C4268">
        <v>91493682</v>
      </c>
      <c r="D4268">
        <v>64610</v>
      </c>
    </row>
    <row r="4269" spans="1:4" x14ac:dyDescent="0.25">
      <c r="A4269" t="str">
        <f>T("   392510")</f>
        <v xml:space="preserve">   392510</v>
      </c>
      <c r="B4269" t="str">
        <f>T("   Réservoirs, foudres, cuves et récipients analogues, en matières plastiques, d'une contenance &gt; 300 l")</f>
        <v xml:space="preserve">   Réservoirs, foudres, cuves et récipients analogues, en matières plastiques, d'une contenance &gt; 300 l</v>
      </c>
      <c r="C4269">
        <v>150871</v>
      </c>
      <c r="D4269">
        <v>145</v>
      </c>
    </row>
    <row r="4270" spans="1:4" x14ac:dyDescent="0.25">
      <c r="A4270" t="str">
        <f>T("   392590")</f>
        <v xml:space="preserve">   392590</v>
      </c>
      <c r="B4270" t="s">
        <v>158</v>
      </c>
      <c r="C4270">
        <v>54194253</v>
      </c>
      <c r="D4270">
        <v>15471.25</v>
      </c>
    </row>
    <row r="4271" spans="1:4" x14ac:dyDescent="0.25">
      <c r="A4271" t="str">
        <f>T("   392610")</f>
        <v xml:space="preserve">   392610</v>
      </c>
      <c r="B4271" t="str">
        <f>T("   Articles de bureau et articles scolaires, en matières plastiques, n.d.a.")</f>
        <v xml:space="preserve">   Articles de bureau et articles scolaires, en matières plastiques, n.d.a.</v>
      </c>
      <c r="C4271">
        <v>46210970</v>
      </c>
      <c r="D4271">
        <v>32671</v>
      </c>
    </row>
    <row r="4272" spans="1:4" x14ac:dyDescent="0.25">
      <c r="A4272" t="str">
        <f>T("   392620")</f>
        <v xml:space="preserve">   392620</v>
      </c>
      <c r="B4272"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4272">
        <v>5060321</v>
      </c>
      <c r="D4272">
        <v>2049</v>
      </c>
    </row>
    <row r="4273" spans="1:4" x14ac:dyDescent="0.25">
      <c r="A4273" t="str">
        <f>T("   392640")</f>
        <v xml:space="preserve">   392640</v>
      </c>
      <c r="B4273" t="str">
        <f>T("   Statuettes et autres objets d'ornementation, en matières plastiques")</f>
        <v xml:space="preserve">   Statuettes et autres objets d'ornementation, en matières plastiques</v>
      </c>
      <c r="C4273">
        <v>2052500</v>
      </c>
      <c r="D4273">
        <v>706</v>
      </c>
    </row>
    <row r="4274" spans="1:4" x14ac:dyDescent="0.25">
      <c r="A4274" t="str">
        <f>T("   392690")</f>
        <v xml:space="preserve">   392690</v>
      </c>
      <c r="B4274" t="str">
        <f>T("   Ouvrages en matières plastiques et ouvrages en autres matières du n° 3901 à 3914, n.d.a.")</f>
        <v xml:space="preserve">   Ouvrages en matières plastiques et ouvrages en autres matières du n° 3901 à 3914, n.d.a.</v>
      </c>
      <c r="C4274">
        <v>80610738</v>
      </c>
      <c r="D4274">
        <v>15606.6</v>
      </c>
    </row>
    <row r="4275" spans="1:4" x14ac:dyDescent="0.25">
      <c r="A4275" t="str">
        <f>T("   400211")</f>
        <v xml:space="preserve">   400211</v>
      </c>
      <c r="B4275" t="str">
        <f>T("   Latex de caoutchouc styrène-butadiène [SBR] ou de caoutchouc styrène-butadiène carboxylé [XSBR]")</f>
        <v xml:space="preserve">   Latex de caoutchouc styrène-butadiène [SBR] ou de caoutchouc styrène-butadiène carboxylé [XSBR]</v>
      </c>
      <c r="C4275">
        <v>30181921</v>
      </c>
      <c r="D4275">
        <v>29730</v>
      </c>
    </row>
    <row r="4276" spans="1:4" x14ac:dyDescent="0.25">
      <c r="A4276" t="str">
        <f>T("   400300")</f>
        <v xml:space="preserve">   400300</v>
      </c>
      <c r="B4276" t="str">
        <f>T("   Caoutchouc régénéré sous formes primaires ou en plaques, feuilles ou bandes")</f>
        <v xml:space="preserve">   Caoutchouc régénéré sous formes primaires ou en plaques, feuilles ou bandes</v>
      </c>
      <c r="C4276">
        <v>1046519</v>
      </c>
      <c r="D4276">
        <v>24</v>
      </c>
    </row>
    <row r="4277" spans="1:4" x14ac:dyDescent="0.25">
      <c r="A4277" t="str">
        <f>T("   400591")</f>
        <v xml:space="preserve">   400591</v>
      </c>
      <c r="B4277" t="s">
        <v>160</v>
      </c>
      <c r="C4277">
        <v>1513955</v>
      </c>
      <c r="D4277">
        <v>390</v>
      </c>
    </row>
    <row r="4278" spans="1:4" x14ac:dyDescent="0.25">
      <c r="A4278" t="str">
        <f>T("   400690")</f>
        <v xml:space="preserve">   400690</v>
      </c>
      <c r="B4278" t="s">
        <v>161</v>
      </c>
      <c r="C4278">
        <v>1868620</v>
      </c>
      <c r="D4278">
        <v>80.400000000000006</v>
      </c>
    </row>
    <row r="4279" spans="1:4" x14ac:dyDescent="0.25">
      <c r="A4279" t="str">
        <f>T("   400819")</f>
        <v xml:space="preserve">   400819</v>
      </c>
      <c r="B4279" t="str">
        <f>T("   Baguettes et profilés, en caoutchouc alvéolaire non durci")</f>
        <v xml:space="preserve">   Baguettes et profilés, en caoutchouc alvéolaire non durci</v>
      </c>
      <c r="C4279">
        <v>228281</v>
      </c>
      <c r="D4279">
        <v>206</v>
      </c>
    </row>
    <row r="4280" spans="1:4" x14ac:dyDescent="0.25">
      <c r="A4280" t="str">
        <f>T("   400821")</f>
        <v xml:space="preserve">   400821</v>
      </c>
      <c r="B4280" t="str">
        <f>T("   PLAQUES, FEUILLES ET BANDES, EN CAOUTCHOUC NON-ALVÉOLAIRE NON-DURCI")</f>
        <v xml:space="preserve">   PLAQUES, FEUILLES ET BANDES, EN CAOUTCHOUC NON-ALVÉOLAIRE NON-DURCI</v>
      </c>
      <c r="C4280">
        <v>166640</v>
      </c>
      <c r="D4280">
        <v>50</v>
      </c>
    </row>
    <row r="4281" spans="1:4" x14ac:dyDescent="0.25">
      <c r="A4281" t="str">
        <f>T("   400829")</f>
        <v xml:space="preserve">   400829</v>
      </c>
      <c r="B4281" t="str">
        <f>T("   Baguettes et profilés, en caoutchouc non alvéolaire non durci")</f>
        <v xml:space="preserve">   Baguettes et profilés, en caoutchouc non alvéolaire non durci</v>
      </c>
      <c r="C4281">
        <v>2665710</v>
      </c>
      <c r="D4281">
        <v>170</v>
      </c>
    </row>
    <row r="4282" spans="1:4" x14ac:dyDescent="0.25">
      <c r="A4282" t="str">
        <f>T("   400911")</f>
        <v xml:space="preserve">   400911</v>
      </c>
      <c r="B4282"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4282">
        <v>53613850</v>
      </c>
      <c r="D4282">
        <v>5143.0600000000004</v>
      </c>
    </row>
    <row r="4283" spans="1:4" x14ac:dyDescent="0.25">
      <c r="A4283" t="str">
        <f>T("   400912")</f>
        <v xml:space="preserve">   400912</v>
      </c>
      <c r="B4283"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4283">
        <v>8520790</v>
      </c>
      <c r="D4283">
        <v>347</v>
      </c>
    </row>
    <row r="4284" spans="1:4" x14ac:dyDescent="0.25">
      <c r="A4284" t="str">
        <f>T("   400921")</f>
        <v xml:space="preserve">   400921</v>
      </c>
      <c r="B4284"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4284">
        <v>5276648</v>
      </c>
      <c r="D4284">
        <v>131</v>
      </c>
    </row>
    <row r="4285" spans="1:4" x14ac:dyDescent="0.25">
      <c r="A4285" t="str">
        <f>T("   400922")</f>
        <v xml:space="preserve">   400922</v>
      </c>
      <c r="B4285"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4285">
        <v>51165</v>
      </c>
      <c r="D4285">
        <v>1</v>
      </c>
    </row>
    <row r="4286" spans="1:4" x14ac:dyDescent="0.25">
      <c r="A4286" t="str">
        <f>T("   400932")</f>
        <v xml:space="preserve">   400932</v>
      </c>
      <c r="B4286" t="str">
        <f>T("   TUBES ET TUYAUX EN CAOUTCHOUC VULCANISÉ NON DURCI, RENFORCÉS SEULEMENT À L'AIDE DE MATIÈRES TEXTILES OU AUTREMENT ASSOCIÉS SEULEMENT À DES MATIÈRES TEXTILES, AVEC ACCESSOIRES [JOINTS, COUDES, RACCORDS, PAR EXEMPLE]")</f>
        <v xml:space="preserve">   TUBES ET TUYAUX EN CAOUTCHOUC VULCANISÉ NON DURCI, RENFORCÉS SEULEMENT À L'AIDE DE MATIÈRES TEXTILES OU AUTREMENT ASSOCIÉS SEULEMENT À DES MATIÈRES TEXTILES, AVEC ACCESSOIRES [JOINTS, COUDES, RACCORDS, PAR EXEMPLE]</v>
      </c>
      <c r="C4286">
        <v>26027208</v>
      </c>
      <c r="D4286">
        <v>1064</v>
      </c>
    </row>
    <row r="4287" spans="1:4" x14ac:dyDescent="0.25">
      <c r="A4287" t="str">
        <f>T("   400942")</f>
        <v xml:space="preserve">   400942</v>
      </c>
      <c r="B4287" t="s">
        <v>163</v>
      </c>
      <c r="C4287">
        <v>2516864</v>
      </c>
      <c r="D4287">
        <v>774.92</v>
      </c>
    </row>
    <row r="4288" spans="1:4" x14ac:dyDescent="0.25">
      <c r="A4288" t="str">
        <f>T("   401011")</f>
        <v xml:space="preserve">   401011</v>
      </c>
      <c r="B4288" t="str">
        <f>T("   Courroies transporteuses, en caoutchouc vulcanisé, renforcées seulement de métal")</f>
        <v xml:space="preserve">   Courroies transporteuses, en caoutchouc vulcanisé, renforcées seulement de métal</v>
      </c>
      <c r="C4288">
        <v>2161387</v>
      </c>
      <c r="D4288">
        <v>562</v>
      </c>
    </row>
    <row r="4289" spans="1:4" x14ac:dyDescent="0.25">
      <c r="A4289" t="str">
        <f>T("   401012")</f>
        <v xml:space="preserve">   401012</v>
      </c>
      <c r="B4289" t="str">
        <f>T("   Courroies transporteuses, en caoutchouc vulcanisé, renforcées seulement de matières textiles")</f>
        <v xml:space="preserve">   Courroies transporteuses, en caoutchouc vulcanisé, renforcées seulement de matières textiles</v>
      </c>
      <c r="C4289">
        <v>52377090</v>
      </c>
      <c r="D4289">
        <v>14230.3</v>
      </c>
    </row>
    <row r="4290" spans="1:4" x14ac:dyDescent="0.25">
      <c r="A4290" t="str">
        <f>T("   401019")</f>
        <v xml:space="preserve">   401019</v>
      </c>
      <c r="B4290"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4290">
        <v>15455552</v>
      </c>
      <c r="D4290">
        <v>1843</v>
      </c>
    </row>
    <row r="4291" spans="1:4" x14ac:dyDescent="0.25">
      <c r="A4291" t="str">
        <f>T("   401039")</f>
        <v xml:space="preserve">   401039</v>
      </c>
      <c r="B4291" t="s">
        <v>164</v>
      </c>
      <c r="C4291">
        <v>16175904</v>
      </c>
      <c r="D4291">
        <v>1196.72</v>
      </c>
    </row>
    <row r="4292" spans="1:4" x14ac:dyDescent="0.25">
      <c r="A4292" t="str">
        <f>T("   401110")</f>
        <v xml:space="preserve">   401110</v>
      </c>
      <c r="B4292"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4292">
        <v>48383232</v>
      </c>
      <c r="D4292">
        <v>14698</v>
      </c>
    </row>
    <row r="4293" spans="1:4" x14ac:dyDescent="0.25">
      <c r="A4293" t="str">
        <f>T("   401120")</f>
        <v xml:space="preserve">   401120</v>
      </c>
      <c r="B4293"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4293">
        <v>17987534</v>
      </c>
      <c r="D4293">
        <v>6035</v>
      </c>
    </row>
    <row r="4294" spans="1:4" x14ac:dyDescent="0.25">
      <c r="A4294" t="str">
        <f>T("   401130")</f>
        <v xml:space="preserve">   401130</v>
      </c>
      <c r="B4294" t="str">
        <f>T("   Pneumatiques neufs, en caoutchouc, des types utilisés pour véhicules aériens")</f>
        <v xml:space="preserve">   Pneumatiques neufs, en caoutchouc, des types utilisés pour véhicules aériens</v>
      </c>
      <c r="C4294">
        <v>61785</v>
      </c>
      <c r="D4294">
        <v>1</v>
      </c>
    </row>
    <row r="4295" spans="1:4" x14ac:dyDescent="0.25">
      <c r="A4295" t="str">
        <f>T("   401161")</f>
        <v xml:space="preserve">   401161</v>
      </c>
      <c r="B4295" t="str">
        <f>T("   Pneumatiques neufs, en caoutchouc, à crampons, à chevrons ou simil., des types utilisés pour les véhicules et engins agricoles et forestiers")</f>
        <v xml:space="preserve">   Pneumatiques neufs, en caoutchouc, à crampons, à chevrons ou simil., des types utilisés pour les véhicules et engins agricoles et forestiers</v>
      </c>
      <c r="C4295">
        <v>1640556</v>
      </c>
      <c r="D4295">
        <v>194</v>
      </c>
    </row>
    <row r="4296" spans="1:4" x14ac:dyDescent="0.25">
      <c r="A4296" t="str">
        <f>T("   401162")</f>
        <v xml:space="preserve">   401162</v>
      </c>
      <c r="B4296"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4296">
        <v>5690453</v>
      </c>
      <c r="D4296">
        <v>4000</v>
      </c>
    </row>
    <row r="4297" spans="1:4" x14ac:dyDescent="0.25">
      <c r="A4297" t="str">
        <f>T("   401163")</f>
        <v xml:space="preserve">   401163</v>
      </c>
      <c r="B4297" t="str">
        <f>T("   Pneumatiques neufs, en caoutchouc, à crampons, à chevrons ou simil., des types utilisés pour les véhicules et engins de génie civil et de manutention industrielle, pour jantes d'un diamètre &gt; 61 cm")</f>
        <v xml:space="preserve">   Pneumatiques neufs, en caoutchouc, à crampons, à chevrons ou simil., des types utilisés pour les véhicules et engins de génie civil et de manutention industrielle, pour jantes d'un diamètre &gt; 61 cm</v>
      </c>
      <c r="C4297">
        <v>3833640</v>
      </c>
      <c r="D4297">
        <v>1400</v>
      </c>
    </row>
    <row r="4298" spans="1:4" x14ac:dyDescent="0.25">
      <c r="A4298" t="str">
        <f>T("   401199")</f>
        <v xml:space="preserve">   401199</v>
      </c>
      <c r="B4298" t="s">
        <v>165</v>
      </c>
      <c r="C4298">
        <v>375233305</v>
      </c>
      <c r="D4298">
        <v>118158</v>
      </c>
    </row>
    <row r="4299" spans="1:4" x14ac:dyDescent="0.25">
      <c r="A4299" t="str">
        <f>T("   401211")</f>
        <v xml:space="preserve">   401211</v>
      </c>
      <c r="B4299"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4299">
        <v>42510000</v>
      </c>
      <c r="D4299">
        <v>100840</v>
      </c>
    </row>
    <row r="4300" spans="1:4" x14ac:dyDescent="0.25">
      <c r="A4300" t="str">
        <f>T("   401212")</f>
        <v xml:space="preserve">   401212</v>
      </c>
      <c r="B4300" t="str">
        <f>T("   Pneumatiques rechapés, en caoutchouc, des types utilisés pour les autobus ou camions")</f>
        <v xml:space="preserve">   Pneumatiques rechapés, en caoutchouc, des types utilisés pour les autobus ou camions</v>
      </c>
      <c r="C4300">
        <v>14382716</v>
      </c>
      <c r="D4300">
        <v>46343</v>
      </c>
    </row>
    <row r="4301" spans="1:4" x14ac:dyDescent="0.25">
      <c r="A4301" t="str">
        <f>T("   401219")</f>
        <v xml:space="preserve">   401219</v>
      </c>
      <c r="B4301"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4301">
        <v>6505967</v>
      </c>
      <c r="D4301">
        <v>23066</v>
      </c>
    </row>
    <row r="4302" spans="1:4" x14ac:dyDescent="0.25">
      <c r="A4302" t="str">
        <f>T("   401220")</f>
        <v xml:space="preserve">   401220</v>
      </c>
      <c r="B4302" t="str">
        <f>T("   Pneumatiques usagés, en caoutchouc")</f>
        <v xml:space="preserve">   Pneumatiques usagés, en caoutchouc</v>
      </c>
      <c r="C4302">
        <v>1367193118</v>
      </c>
      <c r="D4302">
        <v>4401599</v>
      </c>
    </row>
    <row r="4303" spans="1:4" x14ac:dyDescent="0.25">
      <c r="A4303" t="str">
        <f>T("   401290")</f>
        <v xml:space="preserve">   401290</v>
      </c>
      <c r="B4303" t="str">
        <f>T("   Bandages pleins ou creux [mi-pleins], bandes de roulement amovibles pour pneumatiques et flaps, en caoutchouc")</f>
        <v xml:space="preserve">   Bandages pleins ou creux [mi-pleins], bandes de roulement amovibles pour pneumatiques et flaps, en caoutchouc</v>
      </c>
      <c r="C4303">
        <v>581180</v>
      </c>
      <c r="D4303">
        <v>54</v>
      </c>
    </row>
    <row r="4304" spans="1:4" x14ac:dyDescent="0.25">
      <c r="A4304" t="str">
        <f>T("   401310")</f>
        <v xml:space="preserve">   401310</v>
      </c>
      <c r="B430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4304">
        <v>67506596</v>
      </c>
      <c r="D4304">
        <v>331187</v>
      </c>
    </row>
    <row r="4305" spans="1:4" x14ac:dyDescent="0.25">
      <c r="A4305" t="str">
        <f>T("   401390")</f>
        <v xml:space="preserve">   401390</v>
      </c>
      <c r="B430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4305">
        <v>30025164</v>
      </c>
      <c r="D4305">
        <v>331305</v>
      </c>
    </row>
    <row r="4306" spans="1:4" x14ac:dyDescent="0.25">
      <c r="A4306" t="str">
        <f>T("   401410")</f>
        <v xml:space="preserve">   401410</v>
      </c>
      <c r="B4306" t="str">
        <f>T("   Préservatifs en caoutchouc vulcanisé non durci")</f>
        <v xml:space="preserve">   Préservatifs en caoutchouc vulcanisé non durci</v>
      </c>
      <c r="C4306">
        <v>103863522</v>
      </c>
      <c r="D4306">
        <v>9337</v>
      </c>
    </row>
    <row r="4307" spans="1:4" x14ac:dyDescent="0.25">
      <c r="A4307" t="str">
        <f>T("   401490")</f>
        <v xml:space="preserve">   401490</v>
      </c>
      <c r="B4307"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4307">
        <v>8833342</v>
      </c>
      <c r="D4307">
        <v>900</v>
      </c>
    </row>
    <row r="4308" spans="1:4" x14ac:dyDescent="0.25">
      <c r="A4308" t="str">
        <f>T("   401511")</f>
        <v xml:space="preserve">   401511</v>
      </c>
      <c r="B4308" t="str">
        <f>T("   Gants en caoutchouc vulcanisé non durci, pour la chirurgie")</f>
        <v xml:space="preserve">   Gants en caoutchouc vulcanisé non durci, pour la chirurgie</v>
      </c>
      <c r="C4308">
        <v>2906926</v>
      </c>
      <c r="D4308">
        <v>609</v>
      </c>
    </row>
    <row r="4309" spans="1:4" x14ac:dyDescent="0.25">
      <c r="A4309" t="str">
        <f>T("   401519")</f>
        <v xml:space="preserve">   401519</v>
      </c>
      <c r="B4309" t="str">
        <f>T("   GANTS, MITAINES ET MOUFLES, EN CAOUTCHOUC VULCANISÉ NON-DURCI (À L'EXCL. DES GANTS POUR LA CHIRURGIE)")</f>
        <v xml:space="preserve">   GANTS, MITAINES ET MOUFLES, EN CAOUTCHOUC VULCANISÉ NON-DURCI (À L'EXCL. DES GANTS POUR LA CHIRURGIE)</v>
      </c>
      <c r="C4309">
        <v>983285</v>
      </c>
      <c r="D4309">
        <v>121</v>
      </c>
    </row>
    <row r="4310" spans="1:4" x14ac:dyDescent="0.25">
      <c r="A4310" t="str">
        <f>T("   401590")</f>
        <v xml:space="preserve">   401590</v>
      </c>
      <c r="B4310"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4310">
        <v>175141</v>
      </c>
      <c r="D4310">
        <v>33</v>
      </c>
    </row>
    <row r="4311" spans="1:4" x14ac:dyDescent="0.25">
      <c r="A4311" t="str">
        <f>T("   401691")</f>
        <v xml:space="preserve">   401691</v>
      </c>
      <c r="B4311" t="s">
        <v>166</v>
      </c>
      <c r="C4311">
        <v>1789385</v>
      </c>
      <c r="D4311">
        <v>2298.5</v>
      </c>
    </row>
    <row r="4312" spans="1:4" x14ac:dyDescent="0.25">
      <c r="A4312" t="str">
        <f>T("   401692")</f>
        <v xml:space="preserve">   401692</v>
      </c>
      <c r="B4312"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4312">
        <v>5594027</v>
      </c>
      <c r="D4312">
        <v>611</v>
      </c>
    </row>
    <row r="4313" spans="1:4" x14ac:dyDescent="0.25">
      <c r="A4313" t="str">
        <f>T("   401693")</f>
        <v xml:space="preserve">   401693</v>
      </c>
      <c r="B4313" t="str">
        <f>T("   Joints en caoutchouc vulcanisé non durci (à l'excl. des articles en caoutchouc alvéolaire)")</f>
        <v xml:space="preserve">   Joints en caoutchouc vulcanisé non durci (à l'excl. des articles en caoutchouc alvéolaire)</v>
      </c>
      <c r="C4313">
        <v>18748777</v>
      </c>
      <c r="D4313">
        <v>3208.08</v>
      </c>
    </row>
    <row r="4314" spans="1:4" x14ac:dyDescent="0.25">
      <c r="A4314" t="str">
        <f>T("   401694")</f>
        <v xml:space="preserve">   401694</v>
      </c>
      <c r="B4314" t="str">
        <f>T("   Pare-chocs, même gonflables, pour l'accostage des bateaux, en caoutchouc vulcanisé non durci (à l'excl. des produits en caoutchouc alvéolaire)")</f>
        <v xml:space="preserve">   Pare-chocs, même gonflables, pour l'accostage des bateaux, en caoutchouc vulcanisé non durci (à l'excl. des produits en caoutchouc alvéolaire)</v>
      </c>
      <c r="C4314">
        <v>4726848</v>
      </c>
      <c r="D4314">
        <v>1503</v>
      </c>
    </row>
    <row r="4315" spans="1:4" x14ac:dyDescent="0.25">
      <c r="A4315" t="str">
        <f>T("   401699")</f>
        <v xml:space="preserve">   401699</v>
      </c>
      <c r="B4315" t="str">
        <f>T("   OUVRAGES EN CAOUTCHOUC VULCANISÉ NON-DURCI, N.D.A.")</f>
        <v xml:space="preserve">   OUVRAGES EN CAOUTCHOUC VULCANISÉ NON-DURCI, N.D.A.</v>
      </c>
      <c r="C4315">
        <v>5097697</v>
      </c>
      <c r="D4315">
        <v>509</v>
      </c>
    </row>
    <row r="4316" spans="1:4" x14ac:dyDescent="0.25">
      <c r="A4316" t="str">
        <f>T("   401700")</f>
        <v xml:space="preserve">   401700</v>
      </c>
      <c r="B4316" t="str">
        <f>T("   CAOUTCHOUC DURCI [ÉBONITE, P.EX.], SOUS TOUTES FORMES, Y.C. LES DÉCHETS ET DÉBRIS; OUVRAGES EN CAOUTCHOUC DURCI, N.D.A.")</f>
        <v xml:space="preserve">   CAOUTCHOUC DURCI [ÉBONITE, P.EX.], SOUS TOUTES FORMES, Y.C. LES DÉCHETS ET DÉBRIS; OUVRAGES EN CAOUTCHOUC DURCI, N.D.A.</v>
      </c>
      <c r="C4316">
        <v>416298</v>
      </c>
      <c r="D4316">
        <v>33</v>
      </c>
    </row>
    <row r="4317" spans="1:4" x14ac:dyDescent="0.25">
      <c r="A4317" t="str">
        <f>T("   420100")</f>
        <v xml:space="preserve">   420100</v>
      </c>
      <c r="B4317" t="s">
        <v>170</v>
      </c>
      <c r="C4317">
        <v>4659941</v>
      </c>
      <c r="D4317">
        <v>395</v>
      </c>
    </row>
    <row r="4318" spans="1:4" x14ac:dyDescent="0.25">
      <c r="A4318" t="str">
        <f>T("   420211")</f>
        <v xml:space="preserve">   420211</v>
      </c>
      <c r="B4318"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4318">
        <v>15087</v>
      </c>
      <c r="D4318">
        <v>2</v>
      </c>
    </row>
    <row r="4319" spans="1:4" x14ac:dyDescent="0.25">
      <c r="A4319" t="str">
        <f>T("   420212")</f>
        <v xml:space="preserve">   420212</v>
      </c>
      <c r="B4319"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4319">
        <v>3324574</v>
      </c>
      <c r="D4319">
        <v>338</v>
      </c>
    </row>
    <row r="4320" spans="1:4" x14ac:dyDescent="0.25">
      <c r="A4320" t="str">
        <f>T("   420219")</f>
        <v xml:space="preserve">   420219</v>
      </c>
      <c r="B4320" t="s">
        <v>171</v>
      </c>
      <c r="C4320">
        <v>4926399</v>
      </c>
      <c r="D4320">
        <v>1609</v>
      </c>
    </row>
    <row r="4321" spans="1:4" x14ac:dyDescent="0.25">
      <c r="A4321" t="str">
        <f>T("   420221")</f>
        <v xml:space="preserve">   420221</v>
      </c>
      <c r="B4321"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4321">
        <v>183500</v>
      </c>
      <c r="D4321">
        <v>150</v>
      </c>
    </row>
    <row r="4322" spans="1:4" x14ac:dyDescent="0.25">
      <c r="A4322" t="str">
        <f>T("   420222")</f>
        <v xml:space="preserve">   420222</v>
      </c>
      <c r="B4322"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4322">
        <v>97596</v>
      </c>
      <c r="D4322">
        <v>88</v>
      </c>
    </row>
    <row r="4323" spans="1:4" x14ac:dyDescent="0.25">
      <c r="A4323" t="str">
        <f>T("   420229")</f>
        <v xml:space="preserve">   420229</v>
      </c>
      <c r="B432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4323">
        <v>4756310</v>
      </c>
      <c r="D4323">
        <v>1544.4</v>
      </c>
    </row>
    <row r="4324" spans="1:4" x14ac:dyDescent="0.25">
      <c r="A4324" t="str">
        <f>T("   420231")</f>
        <v xml:space="preserve">   420231</v>
      </c>
      <c r="B4324" t="str">
        <f>T("   Portefeuilles, porte-monnaie, étuis à clés ou à cigarettes, blagues à tabac et articles simil. de poche ou de sac à main, à surface extérieure en cuir naturel, en cuir reconstitué ou en cuir verni")</f>
        <v xml:space="preserve">   Portefeuilles, porte-monnaie, étuis à clés ou à cigarettes, blagues à tabac et articles simil. de poche ou de sac à main, à surface extérieure en cuir naturel, en cuir reconstitué ou en cuir verni</v>
      </c>
      <c r="C4324">
        <v>11807</v>
      </c>
      <c r="D4324">
        <v>11</v>
      </c>
    </row>
    <row r="4325" spans="1:4" x14ac:dyDescent="0.25">
      <c r="A4325" t="str">
        <f>T("   420232")</f>
        <v xml:space="preserve">   420232</v>
      </c>
      <c r="B4325"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4325">
        <v>2567765</v>
      </c>
      <c r="D4325">
        <v>330</v>
      </c>
    </row>
    <row r="4326" spans="1:4" x14ac:dyDescent="0.25">
      <c r="A4326" t="str">
        <f>T("   420239")</f>
        <v xml:space="preserve">   420239</v>
      </c>
      <c r="B4326" t="s">
        <v>172</v>
      </c>
      <c r="C4326">
        <v>2924568</v>
      </c>
      <c r="D4326">
        <v>572</v>
      </c>
    </row>
    <row r="4327" spans="1:4" x14ac:dyDescent="0.25">
      <c r="A4327" t="str">
        <f>T("   420291")</f>
        <v xml:space="preserve">   420291</v>
      </c>
      <c r="B4327" t="s">
        <v>173</v>
      </c>
      <c r="C4327">
        <v>254185</v>
      </c>
      <c r="D4327">
        <v>10</v>
      </c>
    </row>
    <row r="4328" spans="1:4" x14ac:dyDescent="0.25">
      <c r="A4328" t="str">
        <f>T("   420292")</f>
        <v xml:space="preserve">   420292</v>
      </c>
      <c r="B4328" t="s">
        <v>173</v>
      </c>
      <c r="C4328">
        <v>19415386</v>
      </c>
      <c r="D4328">
        <v>5772</v>
      </c>
    </row>
    <row r="4329" spans="1:4" x14ac:dyDescent="0.25">
      <c r="A4329" t="str">
        <f>T("   420299")</f>
        <v xml:space="preserve">   420299</v>
      </c>
      <c r="B4329" t="s">
        <v>174</v>
      </c>
      <c r="C4329">
        <v>15347990</v>
      </c>
      <c r="D4329">
        <v>2990.86</v>
      </c>
    </row>
    <row r="4330" spans="1:4" x14ac:dyDescent="0.25">
      <c r="A4330" t="str">
        <f>T("   420310")</f>
        <v xml:space="preserve">   420310</v>
      </c>
      <c r="B4330"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4330">
        <v>76459</v>
      </c>
      <c r="D4330">
        <v>5</v>
      </c>
    </row>
    <row r="4331" spans="1:4" x14ac:dyDescent="0.25">
      <c r="A4331" t="str">
        <f>T("   420329")</f>
        <v xml:space="preserve">   420329</v>
      </c>
      <c r="B4331"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4331">
        <v>3408178</v>
      </c>
      <c r="D4331">
        <v>1386</v>
      </c>
    </row>
    <row r="4332" spans="1:4" x14ac:dyDescent="0.25">
      <c r="A4332" t="str">
        <f>T("   420340")</f>
        <v xml:space="preserve">   420340</v>
      </c>
      <c r="B4332" t="s">
        <v>175</v>
      </c>
      <c r="C4332">
        <v>67564</v>
      </c>
      <c r="D4332">
        <v>4</v>
      </c>
    </row>
    <row r="4333" spans="1:4" x14ac:dyDescent="0.25">
      <c r="A4333" t="str">
        <f>T("   420500")</f>
        <v xml:space="preserve">   420500</v>
      </c>
      <c r="B4333" t="s">
        <v>176</v>
      </c>
      <c r="C4333">
        <v>696812</v>
      </c>
      <c r="D4333">
        <v>20</v>
      </c>
    </row>
    <row r="4334" spans="1:4" x14ac:dyDescent="0.25">
      <c r="A4334" t="str">
        <f>T("   430310")</f>
        <v xml:space="preserve">   430310</v>
      </c>
      <c r="B4334" t="str">
        <f>T("   Vêtements et accessoires du vêtement, en pelleteries (à l'excl. des chaussures, des coiffures, des parties de chaussures ou de coiffures ainsi que des gants comportant à la fois des pelleteries et du cuir)")</f>
        <v xml:space="preserve">   Vêtements et accessoires du vêtement, en pelleteries (à l'excl. des chaussures, des coiffures, des parties de chaussures ou de coiffures ainsi que des gants comportant à la fois des pelleteries et du cuir)</v>
      </c>
      <c r="C4334">
        <v>3543</v>
      </c>
      <c r="D4334">
        <v>1</v>
      </c>
    </row>
    <row r="4335" spans="1:4" x14ac:dyDescent="0.25">
      <c r="A4335" t="str">
        <f>T("   440130")</f>
        <v xml:space="preserve">   440130</v>
      </c>
      <c r="B4335" t="str">
        <f>T("   Sciures, déchets et débris de bois, même agglomérés sous forme de bûches, briquettes, boulettes ou sous formes simil.")</f>
        <v xml:space="preserve">   Sciures, déchets et débris de bois, même agglomérés sous forme de bûches, briquettes, boulettes ou sous formes simil.</v>
      </c>
      <c r="C4335">
        <v>518208</v>
      </c>
      <c r="D4335">
        <v>19</v>
      </c>
    </row>
    <row r="4336" spans="1:4" x14ac:dyDescent="0.25">
      <c r="A4336" t="str">
        <f>T("   440799")</f>
        <v xml:space="preserve">   440799</v>
      </c>
      <c r="B4336" t="s">
        <v>180</v>
      </c>
      <c r="C4336">
        <v>433772</v>
      </c>
      <c r="D4336">
        <v>307</v>
      </c>
    </row>
    <row r="4337" spans="1:4" x14ac:dyDescent="0.25">
      <c r="A4337" t="str">
        <f>T("   440890")</f>
        <v xml:space="preserve">   440890</v>
      </c>
      <c r="B4337" t="s">
        <v>181</v>
      </c>
      <c r="C4337">
        <v>21826527</v>
      </c>
      <c r="D4337">
        <v>78000</v>
      </c>
    </row>
    <row r="4338" spans="1:4" x14ac:dyDescent="0.25">
      <c r="A4338" t="str">
        <f>T("   441039")</f>
        <v xml:space="preserve">   441039</v>
      </c>
      <c r="B4338" t="s">
        <v>183</v>
      </c>
      <c r="C4338">
        <v>65596</v>
      </c>
      <c r="D4338">
        <v>100</v>
      </c>
    </row>
    <row r="4339" spans="1:4" x14ac:dyDescent="0.25">
      <c r="A4339" t="str">
        <f>T("   441193")</f>
        <v xml:space="preserve">   441193</v>
      </c>
      <c r="B4339" t="s">
        <v>188</v>
      </c>
      <c r="C4339">
        <v>4669779</v>
      </c>
      <c r="D4339">
        <v>5900</v>
      </c>
    </row>
    <row r="4340" spans="1:4" x14ac:dyDescent="0.25">
      <c r="A4340" t="str">
        <f>T("   441199")</f>
        <v xml:space="preserve">   441199</v>
      </c>
      <c r="B4340" t="s">
        <v>189</v>
      </c>
      <c r="C4340">
        <v>28968442</v>
      </c>
      <c r="D4340">
        <v>171540</v>
      </c>
    </row>
    <row r="4341" spans="1:4" x14ac:dyDescent="0.25">
      <c r="A4341" t="str">
        <f>T("   441510")</f>
        <v xml:space="preserve">   441510</v>
      </c>
      <c r="B4341" t="str">
        <f>T("   Caisses, caissettes, cageots, cylindres et emballages simil., en bois; tambours [tourets] pour câbles, en bois")</f>
        <v xml:space="preserve">   Caisses, caissettes, cageots, cylindres et emballages simil., en bois; tambours [tourets] pour câbles, en bois</v>
      </c>
      <c r="C4341">
        <v>852183</v>
      </c>
      <c r="D4341">
        <v>39</v>
      </c>
    </row>
    <row r="4342" spans="1:4" x14ac:dyDescent="0.25">
      <c r="A4342" t="str">
        <f>T("   441600")</f>
        <v xml:space="preserve">   441600</v>
      </c>
      <c r="B4342" t="str">
        <f>T("   Futailles, cuves, baquets et autres ouvrages de tonnellerie et leurs parties reconnaissables, en bois, y.c. les merrains")</f>
        <v xml:space="preserve">   Futailles, cuves, baquets et autres ouvrages de tonnellerie et leurs parties reconnaissables, en bois, y.c. les merrains</v>
      </c>
      <c r="C4342">
        <v>39358</v>
      </c>
      <c r="D4342">
        <v>94</v>
      </c>
    </row>
    <row r="4343" spans="1:4" x14ac:dyDescent="0.25">
      <c r="A4343" t="str">
        <f>T("   441700")</f>
        <v xml:space="preserve">   441700</v>
      </c>
      <c r="B4343" t="s">
        <v>199</v>
      </c>
      <c r="C4343">
        <v>26239</v>
      </c>
      <c r="D4343">
        <v>43</v>
      </c>
    </row>
    <row r="4344" spans="1:4" x14ac:dyDescent="0.25">
      <c r="A4344" t="str">
        <f>T("   441820")</f>
        <v xml:space="preserve">   441820</v>
      </c>
      <c r="B4344" t="str">
        <f>T("   Portes et leurs cadres, chambranles et seuils, en bois")</f>
        <v xml:space="preserve">   Portes et leurs cadres, chambranles et seuils, en bois</v>
      </c>
      <c r="C4344">
        <v>1555960</v>
      </c>
      <c r="D4344">
        <v>2570</v>
      </c>
    </row>
    <row r="4345" spans="1:4" x14ac:dyDescent="0.25">
      <c r="A4345" t="str">
        <f>T("   441890")</f>
        <v xml:space="preserve">   441890</v>
      </c>
      <c r="B4345" t="s">
        <v>200</v>
      </c>
      <c r="C4345">
        <v>6930873</v>
      </c>
      <c r="D4345">
        <v>23845</v>
      </c>
    </row>
    <row r="4346" spans="1:4" x14ac:dyDescent="0.25">
      <c r="A4346" t="str">
        <f>T("   441900")</f>
        <v xml:space="preserve">   441900</v>
      </c>
      <c r="B4346" t="s">
        <v>201</v>
      </c>
      <c r="C4346">
        <v>560191</v>
      </c>
      <c r="D4346">
        <v>122</v>
      </c>
    </row>
    <row r="4347" spans="1:4" x14ac:dyDescent="0.25">
      <c r="A4347" t="str">
        <f>T("   442090")</f>
        <v xml:space="preserve">   442090</v>
      </c>
      <c r="B4347" t="s">
        <v>202</v>
      </c>
      <c r="C4347">
        <v>1535602</v>
      </c>
      <c r="D4347">
        <v>298</v>
      </c>
    </row>
    <row r="4348" spans="1:4" x14ac:dyDescent="0.25">
      <c r="A4348" t="str">
        <f>T("   442190")</f>
        <v xml:space="preserve">   442190</v>
      </c>
      <c r="B4348" t="str">
        <f>T("   Ouvrages, en bois, n.d.a.")</f>
        <v xml:space="preserve">   Ouvrages, en bois, n.d.a.</v>
      </c>
      <c r="C4348">
        <v>241394</v>
      </c>
      <c r="D4348">
        <v>135</v>
      </c>
    </row>
    <row r="4349" spans="1:4" x14ac:dyDescent="0.25">
      <c r="A4349" t="str">
        <f>T("   460290")</f>
        <v xml:space="preserve">   460290</v>
      </c>
      <c r="B4349" t="s">
        <v>203</v>
      </c>
      <c r="C4349">
        <v>239000</v>
      </c>
      <c r="D4349">
        <v>185</v>
      </c>
    </row>
    <row r="4350" spans="1:4" x14ac:dyDescent="0.25">
      <c r="A4350" t="str">
        <f>T("   470429")</f>
        <v xml:space="preserve">   470429</v>
      </c>
      <c r="B4350" t="str">
        <f>T("   Pâtes chimiques de bois, au bisulfite, mi-blanchies ou blanchies (à l'excl. des pâtes à dissoudre et des pâtes de bois de conifères)")</f>
        <v xml:space="preserve">   Pâtes chimiques de bois, au bisulfite, mi-blanchies ou blanchies (à l'excl. des pâtes à dissoudre et des pâtes de bois de conifères)</v>
      </c>
      <c r="C4350">
        <v>1905563</v>
      </c>
      <c r="D4350">
        <v>613</v>
      </c>
    </row>
    <row r="4351" spans="1:4" x14ac:dyDescent="0.25">
      <c r="A4351" t="str">
        <f>T("   470710")</f>
        <v xml:space="preserve">   470710</v>
      </c>
      <c r="B4351" t="str">
        <f>T("   Papiers ou cartons à recycler [déchets et rebuts] de papiers ou cartons kraft écrus ou de papiers ou cartons ondulés")</f>
        <v xml:space="preserve">   Papiers ou cartons à recycler [déchets et rebuts] de papiers ou cartons kraft écrus ou de papiers ou cartons ondulés</v>
      </c>
      <c r="C4351">
        <v>557002</v>
      </c>
      <c r="D4351">
        <v>400</v>
      </c>
    </row>
    <row r="4352" spans="1:4" x14ac:dyDescent="0.25">
      <c r="A4352" t="str">
        <f>T("   480100")</f>
        <v xml:space="preserve">   480100</v>
      </c>
      <c r="B4352"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4352">
        <v>29420652</v>
      </c>
      <c r="D4352">
        <v>78705</v>
      </c>
    </row>
    <row r="4353" spans="1:4" x14ac:dyDescent="0.25">
      <c r="A4353" t="str">
        <f>T("   480210")</f>
        <v xml:space="preserve">   480210</v>
      </c>
      <c r="B4353" t="str">
        <f>T("   Papiers et cartons formés feuille à feuille [papiers à la main], de tout format et de toute forme")</f>
        <v xml:space="preserve">   Papiers et cartons formés feuille à feuille [papiers à la main], de tout format et de toute forme</v>
      </c>
      <c r="C4353">
        <v>7715113</v>
      </c>
      <c r="D4353">
        <v>12603</v>
      </c>
    </row>
    <row r="4354" spans="1:4" x14ac:dyDescent="0.25">
      <c r="A4354" t="str">
        <f>T("   480255")</f>
        <v xml:space="preserve">   480255</v>
      </c>
      <c r="B4354" t="s">
        <v>206</v>
      </c>
      <c r="C4354">
        <v>459587</v>
      </c>
      <c r="D4354">
        <v>11</v>
      </c>
    </row>
    <row r="4355" spans="1:4" x14ac:dyDescent="0.25">
      <c r="A4355" t="str">
        <f>T("   480258")</f>
        <v xml:space="preserve">   480258</v>
      </c>
      <c r="B4355" t="s">
        <v>209</v>
      </c>
      <c r="C4355">
        <v>14342532</v>
      </c>
      <c r="D4355">
        <v>16626</v>
      </c>
    </row>
    <row r="4356" spans="1:4" x14ac:dyDescent="0.25">
      <c r="A4356" t="str">
        <f>T("   480269")</f>
        <v xml:space="preserve">   480269</v>
      </c>
      <c r="B4356" t="s">
        <v>208</v>
      </c>
      <c r="C4356">
        <v>123827165</v>
      </c>
      <c r="D4356">
        <v>214115</v>
      </c>
    </row>
    <row r="4357" spans="1:4" x14ac:dyDescent="0.25">
      <c r="A4357" t="str">
        <f>T("   480300")</f>
        <v xml:space="preserve">   480300</v>
      </c>
      <c r="B4357" t="s">
        <v>211</v>
      </c>
      <c r="C4357">
        <v>3113442</v>
      </c>
      <c r="D4357">
        <v>3273</v>
      </c>
    </row>
    <row r="4358" spans="1:4" x14ac:dyDescent="0.25">
      <c r="A4358" t="str">
        <f>T("   480429")</f>
        <v xml:space="preserve">   480429</v>
      </c>
      <c r="B4358"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4358">
        <v>12499173</v>
      </c>
      <c r="D4358">
        <v>24215</v>
      </c>
    </row>
    <row r="4359" spans="1:4" x14ac:dyDescent="0.25">
      <c r="A4359" t="str">
        <f>T("   480439")</f>
        <v xml:space="preserve">   480439</v>
      </c>
      <c r="B4359" t="s">
        <v>213</v>
      </c>
      <c r="C4359">
        <v>50398706</v>
      </c>
      <c r="D4359">
        <v>88753</v>
      </c>
    </row>
    <row r="4360" spans="1:4" x14ac:dyDescent="0.25">
      <c r="A4360" t="str">
        <f>T("   480630")</f>
        <v xml:space="preserve">   480630</v>
      </c>
      <c r="B4360" t="str">
        <f>T("   Papiers-calques, en rouleaux d'une largeur &gt; 36 cm ou en feuilles de forme carrée ou rectangulaire dont au moins un coté &gt; 36 cm et l'autre &gt; 15 cm à l'état non plié")</f>
        <v xml:space="preserve">   Papiers-calques, en rouleaux d'une largeur &gt; 36 cm ou en feuilles de forme carrée ou rectangulaire dont au moins un coté &gt; 36 cm et l'autre &gt; 15 cm à l'état non plié</v>
      </c>
      <c r="C4360">
        <v>4868332</v>
      </c>
      <c r="D4360">
        <v>4218</v>
      </c>
    </row>
    <row r="4361" spans="1:4" x14ac:dyDescent="0.25">
      <c r="A4361" t="str">
        <f>T("   480640")</f>
        <v xml:space="preserve">   480640</v>
      </c>
      <c r="B4361" t="s">
        <v>216</v>
      </c>
      <c r="C4361">
        <v>908898</v>
      </c>
      <c r="D4361">
        <v>143</v>
      </c>
    </row>
    <row r="4362" spans="1:4" x14ac:dyDescent="0.25">
      <c r="A4362" t="str">
        <f>T("   480820")</f>
        <v xml:space="preserve">   480820</v>
      </c>
      <c r="B4362" t="str">
        <f>T("   Papiers kraft pour sacs de grande contenance, crêpés ou plissés, même gaufrés, estampés ou perforés, en rouleaux d'une largeur &gt; 36 cm ou en feuilles de forme carrée ou rectangulaire dont au moins un coté &gt; 36 cm et l'autre &gt; 15 cm à l'état non plié")</f>
        <v xml:space="preserve">   Papiers kraft pour sacs de grande contenance, crêpés ou plissés, même gaufrés, estampés ou perforés, en rouleaux d'une largeur &gt; 36 cm ou en feuilles de forme carrée ou rectangulaire dont au moins un coté &gt; 36 cm et l'autre &gt; 15 cm à l'état non plié</v>
      </c>
      <c r="C4362">
        <v>177109</v>
      </c>
      <c r="D4362">
        <v>44</v>
      </c>
    </row>
    <row r="4363" spans="1:4" x14ac:dyDescent="0.25">
      <c r="A4363" t="str">
        <f>T("   480830")</f>
        <v xml:space="preserve">   480830</v>
      </c>
      <c r="B4363" t="s">
        <v>218</v>
      </c>
      <c r="C4363">
        <v>3381886</v>
      </c>
      <c r="D4363">
        <v>2610</v>
      </c>
    </row>
    <row r="4364" spans="1:4" x14ac:dyDescent="0.25">
      <c r="A4364" t="str">
        <f>T("   480920")</f>
        <v xml:space="preserve">   480920</v>
      </c>
      <c r="B4364"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4364">
        <v>3245946</v>
      </c>
      <c r="D4364">
        <v>2147</v>
      </c>
    </row>
    <row r="4365" spans="1:4" x14ac:dyDescent="0.25">
      <c r="A4365" t="str">
        <f>T("   480990")</f>
        <v xml:space="preserve">   480990</v>
      </c>
      <c r="B4365" t="s">
        <v>220</v>
      </c>
      <c r="C4365">
        <v>12520302</v>
      </c>
      <c r="D4365">
        <v>4050</v>
      </c>
    </row>
    <row r="4366" spans="1:4" x14ac:dyDescent="0.25">
      <c r="A4366" t="str">
        <f>T("   481014")</f>
        <v xml:space="preserve">   481014</v>
      </c>
      <c r="B4366" t="s">
        <v>221</v>
      </c>
      <c r="C4366">
        <v>2632721</v>
      </c>
      <c r="D4366">
        <v>2616</v>
      </c>
    </row>
    <row r="4367" spans="1:4" x14ac:dyDescent="0.25">
      <c r="A4367" t="str">
        <f>T("   481019")</f>
        <v xml:space="preserve">   481019</v>
      </c>
      <c r="B4367" t="s">
        <v>221</v>
      </c>
      <c r="C4367">
        <v>7571007</v>
      </c>
      <c r="D4367">
        <v>8943</v>
      </c>
    </row>
    <row r="4368" spans="1:4" x14ac:dyDescent="0.25">
      <c r="A4368" t="str">
        <f>T("   481031")</f>
        <v xml:space="preserve">   481031</v>
      </c>
      <c r="B4368" t="s">
        <v>223</v>
      </c>
      <c r="C4368">
        <v>1601198</v>
      </c>
      <c r="D4368">
        <v>659</v>
      </c>
    </row>
    <row r="4369" spans="1:4" x14ac:dyDescent="0.25">
      <c r="A4369" t="str">
        <f>T("   481099")</f>
        <v xml:space="preserve">   481099</v>
      </c>
      <c r="B4369" t="s">
        <v>225</v>
      </c>
      <c r="C4369">
        <v>7333016</v>
      </c>
      <c r="D4369">
        <v>6270</v>
      </c>
    </row>
    <row r="4370" spans="1:4" x14ac:dyDescent="0.25">
      <c r="A4370" t="str">
        <f>T("   481110")</f>
        <v xml:space="preserve">   481110</v>
      </c>
      <c r="B4370"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4370">
        <v>43018860</v>
      </c>
      <c r="D4370">
        <v>136298</v>
      </c>
    </row>
    <row r="4371" spans="1:4" x14ac:dyDescent="0.25">
      <c r="A4371" t="str">
        <f>T("   481141")</f>
        <v xml:space="preserve">   481141</v>
      </c>
      <c r="B4371"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4371">
        <v>2267860</v>
      </c>
      <c r="D4371">
        <v>5398</v>
      </c>
    </row>
    <row r="4372" spans="1:4" x14ac:dyDescent="0.25">
      <c r="A4372" t="str">
        <f>T("   481149")</f>
        <v xml:space="preserve">   481149</v>
      </c>
      <c r="B4372"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4372">
        <v>19051239</v>
      </c>
      <c r="D4372">
        <v>44852</v>
      </c>
    </row>
    <row r="4373" spans="1:4" x14ac:dyDescent="0.25">
      <c r="A4373" t="str">
        <f>T("   481151")</f>
        <v xml:space="preserve">   481151</v>
      </c>
      <c r="B4373" t="s">
        <v>226</v>
      </c>
      <c r="C4373">
        <v>200979</v>
      </c>
      <c r="D4373">
        <v>318</v>
      </c>
    </row>
    <row r="4374" spans="1:4" x14ac:dyDescent="0.25">
      <c r="A4374" t="str">
        <f>T("   481190")</f>
        <v xml:space="preserve">   481190</v>
      </c>
      <c r="B4374" t="s">
        <v>228</v>
      </c>
      <c r="C4374">
        <v>6030897</v>
      </c>
      <c r="D4374">
        <v>924</v>
      </c>
    </row>
    <row r="4375" spans="1:4" x14ac:dyDescent="0.25">
      <c r="A4375" t="str">
        <f>T("   481200")</f>
        <v xml:space="preserve">   481200</v>
      </c>
      <c r="B4375" t="str">
        <f>T("   Blocs filtrants et plaques filtrantes, en pâte à papier")</f>
        <v xml:space="preserve">   Blocs filtrants et plaques filtrantes, en pâte à papier</v>
      </c>
      <c r="C4375">
        <v>16615467</v>
      </c>
      <c r="D4375">
        <v>1861</v>
      </c>
    </row>
    <row r="4376" spans="1:4" x14ac:dyDescent="0.25">
      <c r="A4376" t="str">
        <f>T("   481490")</f>
        <v xml:space="preserve">   481490</v>
      </c>
      <c r="B4376" t="s">
        <v>229</v>
      </c>
      <c r="C4376">
        <v>230000</v>
      </c>
      <c r="D4376">
        <v>28</v>
      </c>
    </row>
    <row r="4377" spans="1:4" x14ac:dyDescent="0.25">
      <c r="A4377" t="str">
        <f>T("   481690")</f>
        <v xml:space="preserve">   481690</v>
      </c>
      <c r="B4377" t="s">
        <v>231</v>
      </c>
      <c r="C4377">
        <v>1421997</v>
      </c>
      <c r="D4377">
        <v>14</v>
      </c>
    </row>
    <row r="4378" spans="1:4" x14ac:dyDescent="0.25">
      <c r="A4378" t="str">
        <f>T("   481710")</f>
        <v xml:space="preserve">   481710</v>
      </c>
      <c r="B4378" t="str">
        <f>T("   Enveloppes, en papier ou en carton")</f>
        <v xml:space="preserve">   Enveloppes, en papier ou en carton</v>
      </c>
      <c r="C4378">
        <v>80378493</v>
      </c>
      <c r="D4378">
        <v>152940</v>
      </c>
    </row>
    <row r="4379" spans="1:4" x14ac:dyDescent="0.25">
      <c r="A4379" t="str">
        <f>T("   481720")</f>
        <v xml:space="preserve">   481720</v>
      </c>
      <c r="B4379" t="str">
        <f>T("   Cartes-lettres, cartes postales non illustrées et cartes pour correspondance, en papier ou en carton (à l'excl. des articles comportant un timbre-poste imprimé)")</f>
        <v xml:space="preserve">   Cartes-lettres, cartes postales non illustrées et cartes pour correspondance, en papier ou en carton (à l'excl. des articles comportant un timbre-poste imprimé)</v>
      </c>
      <c r="C4379">
        <v>6691</v>
      </c>
      <c r="D4379">
        <v>1</v>
      </c>
    </row>
    <row r="4380" spans="1:4" x14ac:dyDescent="0.25">
      <c r="A4380" t="str">
        <f>T("   481730")</f>
        <v xml:space="preserve">   481730</v>
      </c>
      <c r="B4380" t="str">
        <f>T("   Boîtes, pochettes et présentations simil., en papier ou en carton, renfermant un assortiment d'articles de correspondance")</f>
        <v xml:space="preserve">   Boîtes, pochettes et présentations simil., en papier ou en carton, renfermant un assortiment d'articles de correspondance</v>
      </c>
      <c r="C4380">
        <v>3841578</v>
      </c>
      <c r="D4380">
        <v>1581</v>
      </c>
    </row>
    <row r="4381" spans="1:4" x14ac:dyDescent="0.25">
      <c r="A4381" t="str">
        <f>T("   481810")</f>
        <v xml:space="preserve">   481810</v>
      </c>
      <c r="B4381" t="str">
        <f>T("   Papier hygiénique, en rouleaux d'une largeur &lt;= 36 cm")</f>
        <v xml:space="preserve">   Papier hygiénique, en rouleaux d'une largeur &lt;= 36 cm</v>
      </c>
      <c r="C4381">
        <v>26185059</v>
      </c>
      <c r="D4381">
        <v>24846</v>
      </c>
    </row>
    <row r="4382" spans="1:4" x14ac:dyDescent="0.25">
      <c r="A4382" t="str">
        <f>T("   481820")</f>
        <v xml:space="preserve">   481820</v>
      </c>
      <c r="B438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4382">
        <v>64716454</v>
      </c>
      <c r="D4382">
        <v>88571</v>
      </c>
    </row>
    <row r="4383" spans="1:4" x14ac:dyDescent="0.25">
      <c r="A4383" t="str">
        <f>T("   481830")</f>
        <v xml:space="preserve">   481830</v>
      </c>
      <c r="B4383" t="str">
        <f>T("   Nappes et serviettes de table, en pâte à papier, papier, ouate de cellulose ou nappes de fibres de cellulose")</f>
        <v xml:space="preserve">   Nappes et serviettes de table, en pâte à papier, papier, ouate de cellulose ou nappes de fibres de cellulose</v>
      </c>
      <c r="C4383">
        <v>6891561</v>
      </c>
      <c r="D4383">
        <v>6178.2</v>
      </c>
    </row>
    <row r="4384" spans="1:4" x14ac:dyDescent="0.25">
      <c r="A4384" t="str">
        <f>T("   481840")</f>
        <v xml:space="preserve">   481840</v>
      </c>
      <c r="B438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4384">
        <v>142659119</v>
      </c>
      <c r="D4384">
        <v>119652</v>
      </c>
    </row>
    <row r="4385" spans="1:4" x14ac:dyDescent="0.25">
      <c r="A4385" t="str">
        <f>T("   481890")</f>
        <v xml:space="preserve">   481890</v>
      </c>
      <c r="B4385" t="s">
        <v>232</v>
      </c>
      <c r="C4385">
        <v>22554004</v>
      </c>
      <c r="D4385">
        <v>11862</v>
      </c>
    </row>
    <row r="4386" spans="1:4" x14ac:dyDescent="0.25">
      <c r="A4386" t="str">
        <f>T("   481910")</f>
        <v xml:space="preserve">   481910</v>
      </c>
      <c r="B4386" t="str">
        <f>T("   Boîtes et caisses en papier ou en carton ondulé")</f>
        <v xml:space="preserve">   Boîtes et caisses en papier ou en carton ondulé</v>
      </c>
      <c r="C4386">
        <v>56053093</v>
      </c>
      <c r="D4386">
        <v>39678</v>
      </c>
    </row>
    <row r="4387" spans="1:4" x14ac:dyDescent="0.25">
      <c r="A4387" t="str">
        <f>T("   481920")</f>
        <v xml:space="preserve">   481920</v>
      </c>
      <c r="B4387" t="str">
        <f>T("   Boîtes et cartonnages, pliants, en papier ou en carton non ondulé")</f>
        <v xml:space="preserve">   Boîtes et cartonnages, pliants, en papier ou en carton non ondulé</v>
      </c>
      <c r="C4387">
        <v>40104256</v>
      </c>
      <c r="D4387">
        <v>35457</v>
      </c>
    </row>
    <row r="4388" spans="1:4" x14ac:dyDescent="0.25">
      <c r="A4388" t="str">
        <f>T("   481930")</f>
        <v xml:space="preserve">   481930</v>
      </c>
      <c r="B4388" t="str">
        <f>T("   Sacs, en papier, carton, ouate de cellulose ou nappes de fibres de cellulose, d'une largeur à la base &gt;= 40 cm")</f>
        <v xml:space="preserve">   Sacs, en papier, carton, ouate de cellulose ou nappes de fibres de cellulose, d'une largeur à la base &gt;= 40 cm</v>
      </c>
      <c r="C4388">
        <v>1233205</v>
      </c>
      <c r="D4388">
        <v>462</v>
      </c>
    </row>
    <row r="4389" spans="1:4" x14ac:dyDescent="0.25">
      <c r="A4389" t="str">
        <f>T("   481940")</f>
        <v xml:space="preserve">   481940</v>
      </c>
      <c r="B438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4389">
        <v>327436</v>
      </c>
      <c r="D4389">
        <v>765</v>
      </c>
    </row>
    <row r="4390" spans="1:4" x14ac:dyDescent="0.25">
      <c r="A4390" t="str">
        <f>T("   481950")</f>
        <v xml:space="preserve">   481950</v>
      </c>
      <c r="B4390" t="s">
        <v>233</v>
      </c>
      <c r="C4390">
        <v>3586135</v>
      </c>
      <c r="D4390">
        <v>460</v>
      </c>
    </row>
    <row r="4391" spans="1:4" x14ac:dyDescent="0.25">
      <c r="A4391" t="str">
        <f>T("   481960")</f>
        <v xml:space="preserve">   481960</v>
      </c>
      <c r="B4391" t="str">
        <f>T("   Cartonnages de bureau, de magasin ou simil., rigides (à l'excl. des emballages)")</f>
        <v xml:space="preserve">   Cartonnages de bureau, de magasin ou simil., rigides (à l'excl. des emballages)</v>
      </c>
      <c r="C4391">
        <v>5440403</v>
      </c>
      <c r="D4391">
        <v>10546</v>
      </c>
    </row>
    <row r="4392" spans="1:4" x14ac:dyDescent="0.25">
      <c r="A4392" t="str">
        <f>T("   482010")</f>
        <v xml:space="preserve">   482010</v>
      </c>
      <c r="B4392"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4392">
        <v>137020726</v>
      </c>
      <c r="D4392">
        <v>39467</v>
      </c>
    </row>
    <row r="4393" spans="1:4" x14ac:dyDescent="0.25">
      <c r="A4393" t="str">
        <f>T("   482020")</f>
        <v xml:space="preserve">   482020</v>
      </c>
      <c r="B4393" t="str">
        <f>T("   Cahiers pour l'écriture, en papier ou carton")</f>
        <v xml:space="preserve">   Cahiers pour l'écriture, en papier ou carton</v>
      </c>
      <c r="C4393">
        <v>55319452</v>
      </c>
      <c r="D4393">
        <v>104452.08</v>
      </c>
    </row>
    <row r="4394" spans="1:4" x14ac:dyDescent="0.25">
      <c r="A4394" t="str">
        <f>T("   482030")</f>
        <v xml:space="preserve">   482030</v>
      </c>
      <c r="B4394" t="str">
        <f>T("   Classeurs, reliures (autres que les couvertures pour livres), chemises et couvertures à dossiers, en papier ou en carton")</f>
        <v xml:space="preserve">   Classeurs, reliures (autres que les couvertures pour livres), chemises et couvertures à dossiers, en papier ou en carton</v>
      </c>
      <c r="C4394">
        <v>35781771</v>
      </c>
      <c r="D4394">
        <v>39958.400000000001</v>
      </c>
    </row>
    <row r="4395" spans="1:4" x14ac:dyDescent="0.25">
      <c r="A4395" t="str">
        <f>T("   482040")</f>
        <v xml:space="preserve">   482040</v>
      </c>
      <c r="B4395" t="str">
        <f>T("   Liasses et carnets manifold, même comportant des feuilles de papier carbone, en papier ou carton")</f>
        <v xml:space="preserve">   Liasses et carnets manifold, même comportant des feuilles de papier carbone, en papier ou carton</v>
      </c>
      <c r="C4395">
        <v>1502687</v>
      </c>
      <c r="D4395">
        <v>7469</v>
      </c>
    </row>
    <row r="4396" spans="1:4" x14ac:dyDescent="0.25">
      <c r="A4396" t="str">
        <f>T("   482050")</f>
        <v xml:space="preserve">   482050</v>
      </c>
      <c r="B4396" t="str">
        <f>T("   Albums pour échantillonnages ou pour collections, en papier ou en carton")</f>
        <v xml:space="preserve">   Albums pour échantillonnages ou pour collections, en papier ou en carton</v>
      </c>
      <c r="C4396">
        <v>17055</v>
      </c>
      <c r="D4396">
        <v>12</v>
      </c>
    </row>
    <row r="4397" spans="1:4" x14ac:dyDescent="0.25">
      <c r="A4397" t="str">
        <f>T("   482090")</f>
        <v xml:space="preserve">   482090</v>
      </c>
      <c r="B4397" t="s">
        <v>234</v>
      </c>
      <c r="C4397">
        <v>58940505</v>
      </c>
      <c r="D4397">
        <v>40941</v>
      </c>
    </row>
    <row r="4398" spans="1:4" x14ac:dyDescent="0.25">
      <c r="A4398" t="str">
        <f>T("   482110")</f>
        <v xml:space="preserve">   482110</v>
      </c>
      <c r="B4398" t="str">
        <f>T("   ÉTIQUETTES DE TOUS GENRES, EN PAPIER OU EN CARTON, IMPRIMÉES")</f>
        <v xml:space="preserve">   ÉTIQUETTES DE TOUS GENRES, EN PAPIER OU EN CARTON, IMPRIMÉES</v>
      </c>
      <c r="C4398">
        <v>630755357</v>
      </c>
      <c r="D4398">
        <v>158620</v>
      </c>
    </row>
    <row r="4399" spans="1:4" x14ac:dyDescent="0.25">
      <c r="A4399" t="str">
        <f>T("   482190")</f>
        <v xml:space="preserve">   482190</v>
      </c>
      <c r="B4399" t="str">
        <f>T("   ÉTIQUETTES DE TOUS GENRES, EN PAPIER OU EN CARTON, NON-IMPRIMÉES")</f>
        <v xml:space="preserve">   ÉTIQUETTES DE TOUS GENRES, EN PAPIER OU EN CARTON, NON-IMPRIMÉES</v>
      </c>
      <c r="C4399">
        <v>18306375</v>
      </c>
      <c r="D4399">
        <v>3349.9</v>
      </c>
    </row>
    <row r="4400" spans="1:4" x14ac:dyDescent="0.25">
      <c r="A4400" t="str">
        <f>T("   482290")</f>
        <v xml:space="preserve">   482290</v>
      </c>
      <c r="B4400" t="str">
        <f>T("   Tambours, bobines, fusettes, canettes et supports simil., en pâte à papier, papier ou carton, même perforés ou durcis (à l'excl. des articles des types utilisés pour l'enroulement des fils textiles)")</f>
        <v xml:space="preserve">   Tambours, bobines, fusettes, canettes et supports simil., en pâte à papier, papier ou carton, même perforés ou durcis (à l'excl. des articles des types utilisés pour l'enroulement des fils textiles)</v>
      </c>
      <c r="C4400">
        <v>133816</v>
      </c>
      <c r="D4400">
        <v>18</v>
      </c>
    </row>
    <row r="4401" spans="1:4" x14ac:dyDescent="0.25">
      <c r="A4401" t="str">
        <f>T("   482312")</f>
        <v xml:space="preserve">   482312</v>
      </c>
      <c r="B4401" t="str">
        <f>T("   Papier auto-adhésif, en bandes ou en rouleaux d'une largeur &lt;= 36 cm (sauf colorié en surface, décoré en surface ou imprimé)")</f>
        <v xml:space="preserve">   Papier auto-adhésif, en bandes ou en rouleaux d'une largeur &lt;= 36 cm (sauf colorié en surface, décoré en surface ou imprimé)</v>
      </c>
      <c r="C4401">
        <v>2891006</v>
      </c>
      <c r="D4401">
        <v>2584</v>
      </c>
    </row>
    <row r="4402" spans="1:4" x14ac:dyDescent="0.25">
      <c r="A4402" t="str">
        <f>T("   482320")</f>
        <v xml:space="preserve">   482320</v>
      </c>
      <c r="B4402"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4402">
        <v>27559570</v>
      </c>
      <c r="D4402">
        <v>3393</v>
      </c>
    </row>
    <row r="4403" spans="1:4" x14ac:dyDescent="0.25">
      <c r="A4403" t="str">
        <f>T("   482340")</f>
        <v xml:space="preserve">   482340</v>
      </c>
      <c r="B4403"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4403">
        <v>33181367</v>
      </c>
      <c r="D4403">
        <v>32625</v>
      </c>
    </row>
    <row r="4404" spans="1:4" x14ac:dyDescent="0.25">
      <c r="A4404" t="str">
        <f>T("   482360")</f>
        <v xml:space="preserve">   482360</v>
      </c>
      <c r="B4404" t="str">
        <f>T("   Plateaux, plats, assiettes, tasses, gobelets et articles simil., en papier ou en carton")</f>
        <v xml:space="preserve">   Plateaux, plats, assiettes, tasses, gobelets et articles simil., en papier ou en carton</v>
      </c>
      <c r="C4404">
        <v>2624</v>
      </c>
      <c r="D4404">
        <v>1</v>
      </c>
    </row>
    <row r="4405" spans="1:4" x14ac:dyDescent="0.25">
      <c r="A4405" t="str">
        <f>T("   482361")</f>
        <v xml:space="preserve">   482361</v>
      </c>
      <c r="B4405" t="str">
        <f>T("   PLATEAUX, PLATS, ASSIETTES, TASSES, GOBELETS ET ARTICLES SIMIL., EN PAPIER BAMBOU OU EN CARTON BAMBOU")</f>
        <v xml:space="preserve">   PLATEAUX, PLATS, ASSIETTES, TASSES, GOBELETS ET ARTICLES SIMIL., EN PAPIER BAMBOU OU EN CARTON BAMBOU</v>
      </c>
      <c r="C4405">
        <v>764200</v>
      </c>
      <c r="D4405">
        <v>353</v>
      </c>
    </row>
    <row r="4406" spans="1:4" x14ac:dyDescent="0.25">
      <c r="A4406" t="str">
        <f>T("   482369")</f>
        <v xml:space="preserve">   482369</v>
      </c>
      <c r="B4406" t="str">
        <f>T("   PLATEAUX, PLATS, ASSIETTES, TASSES, GOBELETS ET ARTICLES SIMIL., EN PAPIER OU EN CARTON (À L'EXCL. DU PAPIER BAMBOU OU DU CARTON BAMBOU)")</f>
        <v xml:space="preserve">   PLATEAUX, PLATS, ASSIETTES, TASSES, GOBELETS ET ARTICLES SIMIL., EN PAPIER OU EN CARTON (À L'EXCL. DU PAPIER BAMBOU OU DU CARTON BAMBOU)</v>
      </c>
      <c r="C4406">
        <v>5653260</v>
      </c>
      <c r="D4406">
        <v>11069</v>
      </c>
    </row>
    <row r="4407" spans="1:4" x14ac:dyDescent="0.25">
      <c r="A4407" t="str">
        <f>T("   482370")</f>
        <v xml:space="preserve">   482370</v>
      </c>
      <c r="B4407" t="str">
        <f>T("   Articles moulés ou pressés en pâte à papier, n.d.a.")</f>
        <v xml:space="preserve">   Articles moulés ou pressés en pâte à papier, n.d.a.</v>
      </c>
      <c r="C4407">
        <v>1910811</v>
      </c>
      <c r="D4407">
        <v>21</v>
      </c>
    </row>
    <row r="4408" spans="1:4" x14ac:dyDescent="0.25">
      <c r="A4408" t="str">
        <f>T("   482390")</f>
        <v xml:space="preserve">   482390</v>
      </c>
      <c r="B4408" t="s">
        <v>235</v>
      </c>
      <c r="C4408">
        <v>14238120</v>
      </c>
      <c r="D4408">
        <v>11796</v>
      </c>
    </row>
    <row r="4409" spans="1:4" x14ac:dyDescent="0.25">
      <c r="A4409" t="str">
        <f>T("   490110")</f>
        <v xml:space="preserve">   490110</v>
      </c>
      <c r="B4409"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4409">
        <v>123341212</v>
      </c>
      <c r="D4409">
        <v>84149</v>
      </c>
    </row>
    <row r="4410" spans="1:4" x14ac:dyDescent="0.25">
      <c r="A4410" t="str">
        <f>T("   490191")</f>
        <v xml:space="preserve">   490191</v>
      </c>
      <c r="B4410" t="str">
        <f>T("   Dictionnaires et encyclopédies, même en fascicules")</f>
        <v xml:space="preserve">   Dictionnaires et encyclopédies, même en fascicules</v>
      </c>
      <c r="C4410">
        <v>31458534</v>
      </c>
      <c r="D4410">
        <v>4619</v>
      </c>
    </row>
    <row r="4411" spans="1:4" x14ac:dyDescent="0.25">
      <c r="A4411" t="str">
        <f>T("   490199")</f>
        <v xml:space="preserve">   490199</v>
      </c>
      <c r="B441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4411">
        <v>842863705</v>
      </c>
      <c r="D4411">
        <v>191517.89</v>
      </c>
    </row>
    <row r="4412" spans="1:4" x14ac:dyDescent="0.25">
      <c r="A4412" t="str">
        <f>T("   490210")</f>
        <v xml:space="preserve">   490210</v>
      </c>
      <c r="B4412" t="str">
        <f>T("   Journaux et publications périodiques imprimés, même illustrés ou contenant de la publicité, paraissant au moins quatre fois par semaine")</f>
        <v xml:space="preserve">   Journaux et publications périodiques imprimés, même illustrés ou contenant de la publicité, paraissant au moins quatre fois par semaine</v>
      </c>
      <c r="C4412">
        <v>31538563</v>
      </c>
      <c r="D4412">
        <v>16763</v>
      </c>
    </row>
    <row r="4413" spans="1:4" x14ac:dyDescent="0.25">
      <c r="A4413" t="str">
        <f>T("   490290")</f>
        <v xml:space="preserve">   490290</v>
      </c>
      <c r="B4413"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4413">
        <v>13601897</v>
      </c>
      <c r="D4413">
        <v>6459</v>
      </c>
    </row>
    <row r="4414" spans="1:4" x14ac:dyDescent="0.25">
      <c r="A4414" t="str">
        <f>T("   490400")</f>
        <v xml:space="preserve">   490400</v>
      </c>
      <c r="B4414" t="str">
        <f>T("   Musique manuscrite ou imprimée, illustrée ou non, même reliée")</f>
        <v xml:space="preserve">   Musique manuscrite ou imprimée, illustrée ou non, même reliée</v>
      </c>
      <c r="C4414">
        <v>4208226</v>
      </c>
      <c r="D4414">
        <v>2595</v>
      </c>
    </row>
    <row r="4415" spans="1:4" x14ac:dyDescent="0.25">
      <c r="A4415" t="str">
        <f>T("   490600")</f>
        <v xml:space="preserve">   490600</v>
      </c>
      <c r="B4415" t="s">
        <v>236</v>
      </c>
      <c r="C4415">
        <v>768722</v>
      </c>
      <c r="D4415">
        <v>36</v>
      </c>
    </row>
    <row r="4416" spans="1:4" x14ac:dyDescent="0.25">
      <c r="A4416" t="str">
        <f>T("   490700")</f>
        <v xml:space="preserve">   490700</v>
      </c>
      <c r="B4416" t="s">
        <v>237</v>
      </c>
      <c r="C4416">
        <v>175393805</v>
      </c>
      <c r="D4416">
        <v>46381</v>
      </c>
    </row>
    <row r="4417" spans="1:4" x14ac:dyDescent="0.25">
      <c r="A4417" t="str">
        <f>T("   490810")</f>
        <v xml:space="preserve">   490810</v>
      </c>
      <c r="B4417" t="str">
        <f>T("   Décalcomanies vitrifiables")</f>
        <v xml:space="preserve">   Décalcomanies vitrifiables</v>
      </c>
      <c r="C4417">
        <v>85275</v>
      </c>
      <c r="D4417">
        <v>130</v>
      </c>
    </row>
    <row r="4418" spans="1:4" x14ac:dyDescent="0.25">
      <c r="A4418" t="str">
        <f>T("   490890")</f>
        <v xml:space="preserve">   490890</v>
      </c>
      <c r="B4418" t="str">
        <f>T("   Décalcomanies de tous genres (à l'excl. des articles vitrifiables)")</f>
        <v xml:space="preserve">   Décalcomanies de tous genres (à l'excl. des articles vitrifiables)</v>
      </c>
      <c r="C4418">
        <v>28862</v>
      </c>
      <c r="D4418">
        <v>21</v>
      </c>
    </row>
    <row r="4419" spans="1:4" x14ac:dyDescent="0.25">
      <c r="A4419" t="str">
        <f>T("   490900")</f>
        <v xml:space="preserve">   490900</v>
      </c>
      <c r="B4419"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4419">
        <v>11556650</v>
      </c>
      <c r="D4419">
        <v>1714.5</v>
      </c>
    </row>
    <row r="4420" spans="1:4" x14ac:dyDescent="0.25">
      <c r="A4420" t="str">
        <f>T("   491000")</f>
        <v xml:space="preserve">   491000</v>
      </c>
      <c r="B4420" t="str">
        <f>T("   Calendriers de tous genres, imprimés, y.c. les blocs de calendriers à effeuiller")</f>
        <v xml:space="preserve">   Calendriers de tous genres, imprimés, y.c. les blocs de calendriers à effeuiller</v>
      </c>
      <c r="C4420">
        <v>36634426</v>
      </c>
      <c r="D4420">
        <v>11037</v>
      </c>
    </row>
    <row r="4421" spans="1:4" x14ac:dyDescent="0.25">
      <c r="A4421" t="str">
        <f>T("   491110")</f>
        <v xml:space="preserve">   491110</v>
      </c>
      <c r="B4421" t="str">
        <f>T("   Imprimés publicitaires, catalogues commerciaux et simil.")</f>
        <v xml:space="preserve">   Imprimés publicitaires, catalogues commerciaux et simil.</v>
      </c>
      <c r="C4421">
        <v>30863798</v>
      </c>
      <c r="D4421">
        <v>16083.8</v>
      </c>
    </row>
    <row r="4422" spans="1:4" x14ac:dyDescent="0.25">
      <c r="A4422" t="str">
        <f>T("   491191")</f>
        <v xml:space="preserve">   491191</v>
      </c>
      <c r="B4422" t="str">
        <f>T("   Images, gravures et photographies, n.d.a.")</f>
        <v xml:space="preserve">   Images, gravures et photographies, n.d.a.</v>
      </c>
      <c r="C4422">
        <v>1546978</v>
      </c>
      <c r="D4422">
        <v>354</v>
      </c>
    </row>
    <row r="4423" spans="1:4" x14ac:dyDescent="0.25">
      <c r="A4423" t="str">
        <f>T("   491199")</f>
        <v xml:space="preserve">   491199</v>
      </c>
      <c r="B4423" t="str">
        <f>T("   Imprimés, n.d.a.")</f>
        <v xml:space="preserve">   Imprimés, n.d.a.</v>
      </c>
      <c r="C4423">
        <v>72395019</v>
      </c>
      <c r="D4423">
        <v>9311.41</v>
      </c>
    </row>
    <row r="4424" spans="1:4" x14ac:dyDescent="0.25">
      <c r="A4424" t="str">
        <f>T("   511219")</f>
        <v xml:space="preserve">   511219</v>
      </c>
      <c r="B4424" t="str">
        <f>T("   Tissus de laine peignée ou de poils fins peignés, contenant &gt;= 85% en poids de laine ou de poils fins, d'un poids &gt; 200 g/m²")</f>
        <v xml:space="preserve">   Tissus de laine peignée ou de poils fins peignés, contenant &gt;= 85% en poids de laine ou de poils fins, d'un poids &gt; 200 g/m²</v>
      </c>
      <c r="C4424">
        <v>10987331</v>
      </c>
      <c r="D4424">
        <v>2000</v>
      </c>
    </row>
    <row r="4425" spans="1:4" x14ac:dyDescent="0.25">
      <c r="A4425" t="str">
        <f>T("   520852")</f>
        <v xml:space="preserve">   520852</v>
      </c>
      <c r="B4425" t="str">
        <f>T("   Tissus de coton, imprimés, à armure toile, contenant &gt;= 85% en poids de coton, d'un poids &gt; 100 g/m² mais &lt;= 200 g/m²")</f>
        <v xml:space="preserve">   Tissus de coton, imprimés, à armure toile, contenant &gt;= 85% en poids de coton, d'un poids &gt; 100 g/m² mais &lt;= 200 g/m²</v>
      </c>
      <c r="C4425">
        <v>2604161</v>
      </c>
      <c r="D4425">
        <v>1860</v>
      </c>
    </row>
    <row r="4426" spans="1:4" x14ac:dyDescent="0.25">
      <c r="A4426" t="str">
        <f>T("   520859")</f>
        <v xml:space="preserve">   520859</v>
      </c>
      <c r="B4426" t="str">
        <f>T("   TISSUS DE COTON, IMPRIMÉS, CONTENANT &gt;= 85% EN POIDS DE COTON, D'UN POIDS &lt;= 200 G/M² (À L'EXCL. DES TISSUS À ARMURE TOILE)")</f>
        <v xml:space="preserve">   TISSUS DE COTON, IMPRIMÉS, CONTENANT &gt;= 85% EN POIDS DE COTON, D'UN POIDS &lt;= 200 G/M² (À L'EXCL. DES TISSUS À ARMURE TOILE)</v>
      </c>
      <c r="C4426">
        <v>996000</v>
      </c>
      <c r="D4426">
        <v>1486</v>
      </c>
    </row>
    <row r="4427" spans="1:4" x14ac:dyDescent="0.25">
      <c r="A4427" t="str">
        <f>T("   521139")</f>
        <v xml:space="preserve">   521139</v>
      </c>
      <c r="B4427" t="s">
        <v>241</v>
      </c>
      <c r="C4427">
        <v>3038643</v>
      </c>
      <c r="D4427">
        <v>1300</v>
      </c>
    </row>
    <row r="4428" spans="1:4" x14ac:dyDescent="0.25">
      <c r="A4428" t="str">
        <f>T("   521225")</f>
        <v xml:space="preserve">   521225</v>
      </c>
      <c r="B4428"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4428">
        <v>4351508</v>
      </c>
      <c r="D4428">
        <v>1000</v>
      </c>
    </row>
    <row r="4429" spans="1:4" x14ac:dyDescent="0.25">
      <c r="A4429" t="str">
        <f>T("   530310")</f>
        <v xml:space="preserve">   530310</v>
      </c>
      <c r="B4429" t="str">
        <f>T("   Jute et autres fibres textiles libériennes, bruts ou rouis (à l'excl. du lin, du chanvre et de la ramie)")</f>
        <v xml:space="preserve">   Jute et autres fibres textiles libériennes, bruts ou rouis (à l'excl. du lin, du chanvre et de la ramie)</v>
      </c>
      <c r="C4429">
        <v>22991700</v>
      </c>
      <c r="D4429">
        <v>23940</v>
      </c>
    </row>
    <row r="4430" spans="1:4" x14ac:dyDescent="0.25">
      <c r="A4430" t="str">
        <f>T("   530929")</f>
        <v xml:space="preserve">   530929</v>
      </c>
      <c r="B4430" t="str">
        <f>T("   Tissus de lin, contenant en prédominance, mais &lt; 85% en poids de lin, teints ou en fils de diverses couleurs ou imprimés")</f>
        <v xml:space="preserve">   Tissus de lin, contenant en prédominance, mais &lt; 85% en poids de lin, teints ou en fils de diverses couleurs ou imprimés</v>
      </c>
      <c r="C4430">
        <v>1126414</v>
      </c>
      <c r="D4430">
        <v>461</v>
      </c>
    </row>
    <row r="4431" spans="1:4" x14ac:dyDescent="0.25">
      <c r="A4431" t="str">
        <f>T("   531090")</f>
        <v xml:space="preserve">   531090</v>
      </c>
      <c r="B4431"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4431">
        <v>996489</v>
      </c>
      <c r="D4431">
        <v>59</v>
      </c>
    </row>
    <row r="4432" spans="1:4" x14ac:dyDescent="0.25">
      <c r="A4432" t="str">
        <f>T("   551529")</f>
        <v xml:space="preserve">   551529</v>
      </c>
      <c r="B4432" t="s">
        <v>255</v>
      </c>
      <c r="C4432">
        <v>4003980</v>
      </c>
      <c r="D4432">
        <v>600</v>
      </c>
    </row>
    <row r="4433" spans="1:4" x14ac:dyDescent="0.25">
      <c r="A4433" t="str">
        <f>T("   551614")</f>
        <v xml:space="preserve">   551614</v>
      </c>
      <c r="B4433" t="str">
        <f>T("   Tissus, imprimés, de fibres artificielles discontinues, contenant &gt;= 85% en poids de ces fibres")</f>
        <v xml:space="preserve">   Tissus, imprimés, de fibres artificielles discontinues, contenant &gt;= 85% en poids de ces fibres</v>
      </c>
      <c r="C4433">
        <v>450000</v>
      </c>
      <c r="D4433">
        <v>43.5</v>
      </c>
    </row>
    <row r="4434" spans="1:4" x14ac:dyDescent="0.25">
      <c r="A4434" t="str">
        <f>T("   560121")</f>
        <v xml:space="preserve">   560121</v>
      </c>
      <c r="B4434" t="s">
        <v>259</v>
      </c>
      <c r="C4434">
        <v>4283293</v>
      </c>
      <c r="D4434">
        <v>2732</v>
      </c>
    </row>
    <row r="4435" spans="1:4" x14ac:dyDescent="0.25">
      <c r="A4435" t="str">
        <f>T("   560210")</f>
        <v xml:space="preserve">   560210</v>
      </c>
      <c r="B4435" t="str">
        <f>T("   Feutres aiguilletés et produits cousus-tricotés, même imprégnés, enduits, recouverts ou stratifiés, n.d.a.")</f>
        <v xml:space="preserve">   Feutres aiguilletés et produits cousus-tricotés, même imprégnés, enduits, recouverts ou stratifiés, n.d.a.</v>
      </c>
      <c r="C4435">
        <v>37207979</v>
      </c>
      <c r="D4435">
        <v>2617</v>
      </c>
    </row>
    <row r="4436" spans="1:4" x14ac:dyDescent="0.25">
      <c r="A4436" t="str">
        <f>T("   560312")</f>
        <v xml:space="preserve">   560312</v>
      </c>
      <c r="B4436" t="str">
        <f>T("   Nontissés, même imprégnés, enduits, recouverts ou stratifiés, n.d.a., de filaments synthétiques ou artificiels, d'un poids &gt; 25 g/m² mais &lt;= 70 g/m²")</f>
        <v xml:space="preserve">   Nontissés, même imprégnés, enduits, recouverts ou stratifiés, n.d.a., de filaments synthétiques ou artificiels, d'un poids &gt; 25 g/m² mais &lt;= 70 g/m²</v>
      </c>
      <c r="C4436">
        <v>40014</v>
      </c>
      <c r="D4436">
        <v>10</v>
      </c>
    </row>
    <row r="4437" spans="1:4" x14ac:dyDescent="0.25">
      <c r="A4437" t="str">
        <f>T("   560490")</f>
        <v xml:space="preserve">   560490</v>
      </c>
      <c r="B4437"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4437">
        <v>1972782</v>
      </c>
      <c r="D4437">
        <v>180</v>
      </c>
    </row>
    <row r="4438" spans="1:4" x14ac:dyDescent="0.25">
      <c r="A4438" t="str">
        <f>T("   560750")</f>
        <v xml:space="preserve">   560750</v>
      </c>
      <c r="B4438" t="str">
        <f>T("   Ficelles, cordes et cordages, de fibres synthétiques, tressés ou non, même imprégnés, enduits, recouverts ou gainés de caoutchouc ou de matière plastique (à l'excl. des produits en polyéthylène ou en polypropylène)")</f>
        <v xml:space="preserve">   Ficelles, cordes et cordages, de fibres synthétiques, tressés ou non, même imprégnés, enduits, recouverts ou gainés de caoutchouc ou de matière plastique (à l'excl. des produits en polyéthylène ou en polypropylène)</v>
      </c>
      <c r="C4438">
        <v>308301</v>
      </c>
      <c r="D4438">
        <v>17</v>
      </c>
    </row>
    <row r="4439" spans="1:4" x14ac:dyDescent="0.25">
      <c r="A4439" t="str">
        <f>T("   560790")</f>
        <v xml:space="preserve">   560790</v>
      </c>
      <c r="B4439"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4439">
        <v>204004</v>
      </c>
      <c r="D4439">
        <v>45</v>
      </c>
    </row>
    <row r="4440" spans="1:4" x14ac:dyDescent="0.25">
      <c r="A4440" t="str">
        <f>T("   560900")</f>
        <v xml:space="preserve">   560900</v>
      </c>
      <c r="B4440" t="str">
        <f>T("   Articles en fils, lames ou formes simil. du n° 5404 ou 5405, ficelles, cordes ou cordages du n° 5607, n.d.a.")</f>
        <v xml:space="preserve">   Articles en fils, lames ou formes simil. du n° 5404 ou 5405, ficelles, cordes ou cordages du n° 5607, n.d.a.</v>
      </c>
      <c r="C4440">
        <v>8836901</v>
      </c>
      <c r="D4440">
        <v>947</v>
      </c>
    </row>
    <row r="4441" spans="1:4" x14ac:dyDescent="0.25">
      <c r="A4441" t="str">
        <f>T("   570110")</f>
        <v xml:space="preserve">   570110</v>
      </c>
      <c r="B4441" t="str">
        <f>T("   Tapis de laine ou de poils fins, à points noués ou enroulés, même confectionnés")</f>
        <v xml:space="preserve">   Tapis de laine ou de poils fins, à points noués ou enroulés, même confectionnés</v>
      </c>
      <c r="C4441">
        <v>30174</v>
      </c>
      <c r="D4441">
        <v>3</v>
      </c>
    </row>
    <row r="4442" spans="1:4" x14ac:dyDescent="0.25">
      <c r="A4442" t="str">
        <f>T("   570190")</f>
        <v xml:space="preserve">   570190</v>
      </c>
      <c r="B4442"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4442">
        <v>1254852</v>
      </c>
      <c r="D4442">
        <v>121</v>
      </c>
    </row>
    <row r="4443" spans="1:4" x14ac:dyDescent="0.25">
      <c r="A4443" t="str">
        <f>T("   570210")</f>
        <v xml:space="preserve">   570210</v>
      </c>
      <c r="B4443" t="str">
        <f>T("   Tapis dits 'kelim' ou 'kilim', 'schumacks' ou 'soumak', 'karamanie' et tapis simil. tissés à la main, même confectionnés")</f>
        <v xml:space="preserve">   Tapis dits 'kelim' ou 'kilim', 'schumacks' ou 'soumak', 'karamanie' et tapis simil. tissés à la main, même confectionnés</v>
      </c>
      <c r="C4443">
        <v>80027</v>
      </c>
      <c r="D4443">
        <v>21</v>
      </c>
    </row>
    <row r="4444" spans="1:4" x14ac:dyDescent="0.25">
      <c r="A4444" t="str">
        <f>T("   570239")</f>
        <v xml:space="preserve">   570239</v>
      </c>
      <c r="B4444" t="s">
        <v>264</v>
      </c>
      <c r="C4444">
        <v>53349</v>
      </c>
      <c r="D4444">
        <v>20</v>
      </c>
    </row>
    <row r="4445" spans="1:4" x14ac:dyDescent="0.25">
      <c r="A4445" t="str">
        <f>T("   570299")</f>
        <v xml:space="preserve">   570299</v>
      </c>
      <c r="B4445" t="s">
        <v>267</v>
      </c>
      <c r="C4445">
        <v>2227642</v>
      </c>
      <c r="D4445">
        <v>364</v>
      </c>
    </row>
    <row r="4446" spans="1:4" x14ac:dyDescent="0.25">
      <c r="A4446" t="str">
        <f>T("   570500")</f>
        <v xml:space="preserve">   570500</v>
      </c>
      <c r="B4446"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4446">
        <v>14848774</v>
      </c>
      <c r="D4446">
        <v>30845</v>
      </c>
    </row>
    <row r="4447" spans="1:4" x14ac:dyDescent="0.25">
      <c r="A4447" t="str">
        <f>T("   580190")</f>
        <v xml:space="preserve">   580190</v>
      </c>
      <c r="B4447" t="str">
        <f>T("   Velours et peluches tissés et tissus de chenille (à l'excl. des tissus bouclés du genre éponge, des surfaces textiles touffetées, des articles de rubanerie du n° 5806 et des articles de laine, de poils fins ou de fibres synthétiques ou artificielles)")</f>
        <v xml:space="preserve">   Velours et peluches tissés et tissus de chenille (à l'excl. des tissus bouclés du genre éponge, des surfaces textiles touffetées, des articles de rubanerie du n° 5806 et des articles de laine, de poils fins ou de fibres synthétiques ou artificielles)</v>
      </c>
      <c r="C4447">
        <v>310840</v>
      </c>
      <c r="D4447">
        <v>1</v>
      </c>
    </row>
    <row r="4448" spans="1:4" x14ac:dyDescent="0.25">
      <c r="A4448" t="str">
        <f>T("   580219")</f>
        <v xml:space="preserve">   580219</v>
      </c>
      <c r="B4448"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4448">
        <v>100000</v>
      </c>
      <c r="D4448">
        <v>80</v>
      </c>
    </row>
    <row r="4449" spans="1:4" x14ac:dyDescent="0.25">
      <c r="A4449" t="str">
        <f>T("   580410")</f>
        <v xml:space="preserve">   580410</v>
      </c>
      <c r="B4449" t="str">
        <f>T("   Tulles, tulles-bobinots et tissus à mailles nouées")</f>
        <v xml:space="preserve">   Tulles, tulles-bobinots et tissus à mailles nouées</v>
      </c>
      <c r="C4449">
        <v>600000</v>
      </c>
      <c r="D4449">
        <v>225</v>
      </c>
    </row>
    <row r="4450" spans="1:4" x14ac:dyDescent="0.25">
      <c r="A4450" t="str">
        <f>T("   580632")</f>
        <v xml:space="preserve">   580632</v>
      </c>
      <c r="B4450" t="str">
        <f>T("   RUBANERIE, TISSÉE, DE FIBRES SYNTHÉTIQUES OU ARTIFICIELLES, D'UNE LARGEUR &lt;= 30 CM, N.D.A.")</f>
        <v xml:space="preserve">   RUBANERIE, TISSÉE, DE FIBRES SYNTHÉTIQUES OU ARTIFICIELLES, D'UNE LARGEUR &lt;= 30 CM, N.D.A.</v>
      </c>
      <c r="C4450">
        <v>682103</v>
      </c>
      <c r="D4450">
        <v>78</v>
      </c>
    </row>
    <row r="4451" spans="1:4" x14ac:dyDescent="0.25">
      <c r="A4451" t="str">
        <f>T("   580790")</f>
        <v xml:space="preserve">   580790</v>
      </c>
      <c r="B4451"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4451">
        <v>173147</v>
      </c>
      <c r="D4451">
        <v>6</v>
      </c>
    </row>
    <row r="4452" spans="1:4" x14ac:dyDescent="0.25">
      <c r="A4452" t="str">
        <f>T("   581010")</f>
        <v xml:space="preserve">   581010</v>
      </c>
      <c r="B4452"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4452">
        <v>400000</v>
      </c>
      <c r="D4452">
        <v>12</v>
      </c>
    </row>
    <row r="4453" spans="1:4" x14ac:dyDescent="0.25">
      <c r="A4453" t="str">
        <f>T("   581091")</f>
        <v xml:space="preserve">   581091</v>
      </c>
      <c r="B4453"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4453">
        <v>340900</v>
      </c>
      <c r="D4453">
        <v>438</v>
      </c>
    </row>
    <row r="4454" spans="1:4" x14ac:dyDescent="0.25">
      <c r="A4454" t="str">
        <f>T("   581099")</f>
        <v xml:space="preserve">   581099</v>
      </c>
      <c r="B4454"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4454">
        <v>2474700</v>
      </c>
      <c r="D4454">
        <v>1324</v>
      </c>
    </row>
    <row r="4455" spans="1:4" x14ac:dyDescent="0.25">
      <c r="A4455" t="str">
        <f>T("   581100")</f>
        <v xml:space="preserve">   581100</v>
      </c>
      <c r="B4455" t="s">
        <v>269</v>
      </c>
      <c r="C4455">
        <v>425000</v>
      </c>
      <c r="D4455">
        <v>100</v>
      </c>
    </row>
    <row r="4456" spans="1:4" x14ac:dyDescent="0.25">
      <c r="A4456" t="str">
        <f>T("   590390")</f>
        <v xml:space="preserve">   590390</v>
      </c>
      <c r="B4456" t="s">
        <v>270</v>
      </c>
      <c r="C4456">
        <v>100000</v>
      </c>
      <c r="D4456">
        <v>50</v>
      </c>
    </row>
    <row r="4457" spans="1:4" x14ac:dyDescent="0.25">
      <c r="A4457" t="str">
        <f>T("   590610")</f>
        <v xml:space="preserve">   590610</v>
      </c>
      <c r="B4457" t="str">
        <f>T("   Rubans adhésifs en tissus caoutchoutés, d'une largeur &lt;= 20 cm (à l'excl. des rubans adhésifs imprégnés ou recouverts de substances pharmaceutiques ou conditionnés pour la vente au détail à des fins médicales, chirurgicales, dentaires ou vétérinaires)")</f>
        <v xml:space="preserve">   Rubans adhésifs en tissus caoutchoutés, d'une largeur &lt;= 20 cm (à l'excl. des rubans adhésifs imprégnés ou recouverts de substances pharmaceutiques ou conditionnés pour la vente au détail à des fins médicales, chirurgicales, dentaires ou vétérinaires)</v>
      </c>
      <c r="C4457">
        <v>8016481</v>
      </c>
      <c r="D4457">
        <v>759</v>
      </c>
    </row>
    <row r="4458" spans="1:4" x14ac:dyDescent="0.25">
      <c r="A4458" t="str">
        <f>T("   590700")</f>
        <v xml:space="preserve">   590700</v>
      </c>
      <c r="B4458"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4458">
        <v>448618</v>
      </c>
      <c r="D4458">
        <v>153</v>
      </c>
    </row>
    <row r="4459" spans="1:4" x14ac:dyDescent="0.25">
      <c r="A4459" t="str">
        <f>T("   591132")</f>
        <v xml:space="preserve">   591132</v>
      </c>
      <c r="B4459"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4459">
        <v>2172330</v>
      </c>
      <c r="D4459">
        <v>53</v>
      </c>
    </row>
    <row r="4460" spans="1:4" x14ac:dyDescent="0.25">
      <c r="A4460" t="str">
        <f>T("   591140")</f>
        <v xml:space="preserve">   591140</v>
      </c>
      <c r="B4460" t="str">
        <f>T("   Etreindelles et tissus épais des types utilisés sur des presses d'huilerie ou pour des usages techniques analogues, y.c. ceux en cheveux")</f>
        <v xml:space="preserve">   Etreindelles et tissus épais des types utilisés sur des presses d'huilerie ou pour des usages techniques analogues, y.c. ceux en cheveux</v>
      </c>
      <c r="C4460">
        <v>950847</v>
      </c>
      <c r="D4460">
        <v>46</v>
      </c>
    </row>
    <row r="4461" spans="1:4" x14ac:dyDescent="0.25">
      <c r="A4461" t="str">
        <f>T("   591190")</f>
        <v xml:space="preserve">   591190</v>
      </c>
      <c r="B4461" t="str">
        <f>T("   Produits et articles textiles pour usages techniques, en matières textiles, visés à la note 7 du présent chapitre, n.d.a.")</f>
        <v xml:space="preserve">   Produits et articles textiles pour usages techniques, en matières textiles, visés à la note 7 du présent chapitre, n.d.a.</v>
      </c>
      <c r="C4461">
        <v>18633831</v>
      </c>
      <c r="D4461">
        <v>7957</v>
      </c>
    </row>
    <row r="4462" spans="1:4" x14ac:dyDescent="0.25">
      <c r="A4462" t="str">
        <f>T("   610310")</f>
        <v xml:space="preserve">   610310</v>
      </c>
      <c r="B4462" t="str">
        <f>T("   COSTUMES OU COMPLETS EN BONNETERIE, DE MATIÈRES TEXTILES, POUR HOMMES OU GARÇONNETS (SAUF SURVÊTEMENTS DE SPORT 'TRAININGS', COMBINAISONS ET ENSEMBLES DE SKI, MAILLOTS, CULOTTES ET SLIPS DE BAIN)")</f>
        <v xml:space="preserve">   COSTUMES OU COMPLETS EN BONNETERIE, DE MATIÈRES TEXTILES, POUR HOMMES OU GARÇONNETS (SAUF SURVÊTEMENTS DE SPORT 'TRAININGS', COMBINAISONS ET ENSEMBLES DE SKI, MAILLOTS, CULOTTES ET SLIPS DE BAIN)</v>
      </c>
      <c r="C4462">
        <v>3060709</v>
      </c>
      <c r="D4462">
        <v>1010</v>
      </c>
    </row>
    <row r="4463" spans="1:4" x14ac:dyDescent="0.25">
      <c r="A4463" t="str">
        <f>T("   610329")</f>
        <v xml:space="preserve">   610329</v>
      </c>
      <c r="B4463"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4463">
        <v>218460</v>
      </c>
      <c r="D4463">
        <v>200</v>
      </c>
    </row>
    <row r="4464" spans="1:4" x14ac:dyDescent="0.25">
      <c r="A4464" t="str">
        <f>T("   610349")</f>
        <v xml:space="preserve">   610349</v>
      </c>
      <c r="B4464"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4464">
        <v>588396</v>
      </c>
      <c r="D4464">
        <v>404</v>
      </c>
    </row>
    <row r="4465" spans="1:4" x14ac:dyDescent="0.25">
      <c r="A4465" t="str">
        <f>T("   610419")</f>
        <v xml:space="preserve">   610419</v>
      </c>
      <c r="B4465" t="str">
        <f>T("   COSTUMES TAILLEURS EN BONNETERIE, DE MATIÈRES TEXTILES, POUR FEMMES OU FILLETTES (SAUF DE FIBRES SYNTHÉTIQUES ET À L'EXCL. DES COMBINAISONS DE SKI ET MAILLOTS, DES CULOTTES ET SLIPS DE BAIN)")</f>
        <v xml:space="preserve">   COSTUMES TAILLEURS EN BONNETERIE, DE MATIÈRES TEXTILES, POUR FEMMES OU FILLETTES (SAUF DE FIBRES SYNTHÉTIQUES ET À L'EXCL. DES COMBINAISONS DE SKI ET MAILLOTS, DES CULOTTES ET SLIPS DE BAIN)</v>
      </c>
      <c r="C4465">
        <v>60000</v>
      </c>
      <c r="D4465">
        <v>60</v>
      </c>
    </row>
    <row r="4466" spans="1:4" x14ac:dyDescent="0.25">
      <c r="A4466" t="str">
        <f>T("   610442")</f>
        <v xml:space="preserve">   610442</v>
      </c>
      <c r="B4466" t="str">
        <f>T("   Robes en bonneterie, de coton, pour femmes ou fillettes (sauf combinaisons et fonds de robes)")</f>
        <v xml:space="preserve">   Robes en bonneterie, de coton, pour femmes ou fillettes (sauf combinaisons et fonds de robes)</v>
      </c>
      <c r="C4466">
        <v>195230</v>
      </c>
      <c r="D4466">
        <v>3</v>
      </c>
    </row>
    <row r="4467" spans="1:4" x14ac:dyDescent="0.25">
      <c r="A4467" t="str">
        <f>T("   610449")</f>
        <v xml:space="preserve">   610449</v>
      </c>
      <c r="B4467" t="str">
        <f>T("   Robes en bonneterie, de matières textiles, pour femmes ou fillettes (sauf de laine, poils fins, coton, fibres synthétiques ou artificielles et sauf combinaisons et fonds de robes)")</f>
        <v xml:space="preserve">   Robes en bonneterie, de matières textiles, pour femmes ou fillettes (sauf de laine, poils fins, coton, fibres synthétiques ou artificielles et sauf combinaisons et fonds de robes)</v>
      </c>
      <c r="C4467">
        <v>1906219</v>
      </c>
      <c r="D4467">
        <v>1288</v>
      </c>
    </row>
    <row r="4468" spans="1:4" x14ac:dyDescent="0.25">
      <c r="A4468" t="str">
        <f>T("   610469")</f>
        <v xml:space="preserve">   610469</v>
      </c>
      <c r="B4468" t="s">
        <v>280</v>
      </c>
      <c r="C4468">
        <v>100000</v>
      </c>
      <c r="D4468">
        <v>500</v>
      </c>
    </row>
    <row r="4469" spans="1:4" x14ac:dyDescent="0.25">
      <c r="A4469" t="str">
        <f>T("   610510")</f>
        <v xml:space="preserve">   610510</v>
      </c>
      <c r="B4469"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4469">
        <v>24249281</v>
      </c>
      <c r="D4469">
        <v>1360</v>
      </c>
    </row>
    <row r="4470" spans="1:4" x14ac:dyDescent="0.25">
      <c r="A4470" t="str">
        <f>T("   610610")</f>
        <v xml:space="preserve">   610610</v>
      </c>
      <c r="B4470"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4470">
        <v>160000</v>
      </c>
      <c r="D4470">
        <v>90</v>
      </c>
    </row>
    <row r="4471" spans="1:4" x14ac:dyDescent="0.25">
      <c r="A4471" t="str">
        <f>T("   610690")</f>
        <v xml:space="preserve">   610690</v>
      </c>
      <c r="B4471"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4471">
        <v>5757525</v>
      </c>
      <c r="D4471">
        <v>513</v>
      </c>
    </row>
    <row r="4472" spans="1:4" x14ac:dyDescent="0.25">
      <c r="A4472" t="str">
        <f>T("   610891")</f>
        <v xml:space="preserve">   610891</v>
      </c>
      <c r="B4472" t="s">
        <v>281</v>
      </c>
      <c r="C4472">
        <v>380339</v>
      </c>
      <c r="D4472">
        <v>454</v>
      </c>
    </row>
    <row r="4473" spans="1:4" x14ac:dyDescent="0.25">
      <c r="A4473" t="str">
        <f>T("   610910")</f>
        <v xml:space="preserve">   610910</v>
      </c>
      <c r="B4473" t="str">
        <f>T("   T-shirts et maillots de corps, en bonneterie, de coton,")</f>
        <v xml:space="preserve">   T-shirts et maillots de corps, en bonneterie, de coton,</v>
      </c>
      <c r="C4473">
        <v>31890616</v>
      </c>
      <c r="D4473">
        <v>4849</v>
      </c>
    </row>
    <row r="4474" spans="1:4" x14ac:dyDescent="0.25">
      <c r="A4474" t="str">
        <f>T("   610990")</f>
        <v xml:space="preserve">   610990</v>
      </c>
      <c r="B4474" t="str">
        <f>T("   T-shirts et maillots de corps, en bonneterie, de matières textiles (sauf de coton)")</f>
        <v xml:space="preserve">   T-shirts et maillots de corps, en bonneterie, de matières textiles (sauf de coton)</v>
      </c>
      <c r="C4474">
        <v>21021050</v>
      </c>
      <c r="D4474">
        <v>2894</v>
      </c>
    </row>
    <row r="4475" spans="1:4" x14ac:dyDescent="0.25">
      <c r="A4475" t="str">
        <f>T("   611020")</f>
        <v xml:space="preserve">   611020</v>
      </c>
      <c r="B4475" t="str">
        <f>T("   Chandails, pull-overs, cardigans, gilets et articles simil., y.c. les sous-pulls, en bonneterie, de coton (sauf gilets ouatinés)")</f>
        <v xml:space="preserve">   Chandails, pull-overs, cardigans, gilets et articles simil., y.c. les sous-pulls, en bonneterie, de coton (sauf gilets ouatinés)</v>
      </c>
      <c r="C4475">
        <v>132734</v>
      </c>
      <c r="D4475">
        <v>1.7</v>
      </c>
    </row>
    <row r="4476" spans="1:4" x14ac:dyDescent="0.25">
      <c r="A4476" t="str">
        <f>T("   611030")</f>
        <v xml:space="preserve">   611030</v>
      </c>
      <c r="B4476" t="str">
        <f>T("   Chandails, pull-overs, cardigans, gilets et articles simil., y.c. les sous-pulls, en bonneterie, de fibres synthétiques ou artificielles (sauf gilets ouatinés)")</f>
        <v xml:space="preserve">   Chandails, pull-overs, cardigans, gilets et articles simil., y.c. les sous-pulls, en bonneterie, de fibres synthétiques ou artificielles (sauf gilets ouatinés)</v>
      </c>
      <c r="C4476">
        <v>862588</v>
      </c>
      <c r="D4476">
        <v>59</v>
      </c>
    </row>
    <row r="4477" spans="1:4" x14ac:dyDescent="0.25">
      <c r="A4477" t="str">
        <f>T("   611190")</f>
        <v xml:space="preserve">   611190</v>
      </c>
      <c r="B4477"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4477">
        <v>1584799</v>
      </c>
      <c r="D4477">
        <v>110</v>
      </c>
    </row>
    <row r="4478" spans="1:4" x14ac:dyDescent="0.25">
      <c r="A4478" t="str">
        <f>T("   611239")</f>
        <v xml:space="preserve">   611239</v>
      </c>
      <c r="B4478" t="str">
        <f>T("   Maillots, culottes et slips de bain, en bonneterie, de matières textiles, pour hommes ou garçonnets (sauf de fibres synthétiques)")</f>
        <v xml:space="preserve">   Maillots, culottes et slips de bain, en bonneterie, de matières textiles, pour hommes ou garçonnets (sauf de fibres synthétiques)</v>
      </c>
      <c r="C4478">
        <v>900000</v>
      </c>
      <c r="D4478">
        <v>356</v>
      </c>
    </row>
    <row r="4479" spans="1:4" x14ac:dyDescent="0.25">
      <c r="A4479" t="str">
        <f>T("   611300")</f>
        <v xml:space="preserve">   611300</v>
      </c>
      <c r="B4479"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4479">
        <v>80000</v>
      </c>
      <c r="D4479">
        <v>80</v>
      </c>
    </row>
    <row r="4480" spans="1:4" x14ac:dyDescent="0.25">
      <c r="A4480" t="str">
        <f>T("   611490")</f>
        <v xml:space="preserve">   611490</v>
      </c>
      <c r="B4480"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4480">
        <v>422370</v>
      </c>
      <c r="D4480">
        <v>227</v>
      </c>
    </row>
    <row r="4481" spans="1:4" x14ac:dyDescent="0.25">
      <c r="A4481" t="str">
        <f>T("   611610")</f>
        <v xml:space="preserve">   611610</v>
      </c>
      <c r="B4481"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4481">
        <v>14350277</v>
      </c>
      <c r="D4481">
        <v>583</v>
      </c>
    </row>
    <row r="4482" spans="1:4" x14ac:dyDescent="0.25">
      <c r="A4482" t="str">
        <f>T("   611699")</f>
        <v xml:space="preserve">   611699</v>
      </c>
      <c r="B4482" t="str">
        <f>T("   Gants, mitaines et moufles, en bonneterie, de matières textiles (autres que laine, poils fins, coton, fibres synthétiques ou imprégnés, enduits ou recouverts de matières plastiques ou de caoutchouc et sauf pour bébés)")</f>
        <v xml:space="preserve">   Gants, mitaines et moufles, en bonneterie, de matières textiles (autres que laine, poils fins, coton, fibres synthétiques ou imprégnés, enduits ou recouverts de matières plastiques ou de caoutchouc et sauf pour bébés)</v>
      </c>
      <c r="C4482">
        <v>205316</v>
      </c>
      <c r="D4482">
        <v>122</v>
      </c>
    </row>
    <row r="4483" spans="1:4" x14ac:dyDescent="0.25">
      <c r="A4483" t="str">
        <f>T("   611780")</f>
        <v xml:space="preserve">   611780</v>
      </c>
      <c r="B4483" t="str">
        <f>T("   CRAVATES, NOEUDS PAPILLONS, FOULARDS CRAVATES ET AUTRES ACCESSOIRES CONFECTIONNÉS DU VÊTEMENT, EN BONNETERIE, N.D.A. (SAUF CHÂLES, ÉCHARPES, FOULARDS, CACHE-NEZ, CACHE-COL, MANTILLES, VOILES, VOILETTES ET ARTICLES SIMIL.)")</f>
        <v xml:space="preserve">   CRAVATES, NOEUDS PAPILLONS, FOULARDS CRAVATES ET AUTRES ACCESSOIRES CONFECTIONNÉS DU VÊTEMENT, EN BONNETERIE, N.D.A. (SAUF CHÂLES, ÉCHARPES, FOULARDS, CACHE-NEZ, CACHE-COL, MANTILLES, VOILES, VOILETTES ET ARTICLES SIMIL.)</v>
      </c>
      <c r="C4483">
        <v>262384</v>
      </c>
      <c r="D4483">
        <v>240</v>
      </c>
    </row>
    <row r="4484" spans="1:4" x14ac:dyDescent="0.25">
      <c r="A4484" t="str">
        <f>T("   620199")</f>
        <v xml:space="preserve">   620199</v>
      </c>
      <c r="B4484" t="s">
        <v>285</v>
      </c>
      <c r="C4484">
        <v>125590</v>
      </c>
      <c r="D4484">
        <v>2.2999999999999998</v>
      </c>
    </row>
    <row r="4485" spans="1:4" x14ac:dyDescent="0.25">
      <c r="A4485" t="str">
        <f>T("   620299")</f>
        <v xml:space="preserve">   620299</v>
      </c>
      <c r="B4485" t="s">
        <v>287</v>
      </c>
      <c r="C4485">
        <v>522853</v>
      </c>
      <c r="D4485">
        <v>9</v>
      </c>
    </row>
    <row r="4486" spans="1:4" x14ac:dyDescent="0.25">
      <c r="A4486" t="str">
        <f>T("   620311")</f>
        <v xml:space="preserve">   620311</v>
      </c>
      <c r="B4486" t="str">
        <f>T("   Costumes ou complets, de laine ou poils fins, pour hommes ou garçonnets (autres qu'en bonneterie et sauf survêtements de sport 'trainings', combinaisons et ensembles de ski, maillots, culottes et slips de bain)")</f>
        <v xml:space="preserve">   Costumes ou complets, de laine ou poils fins, pour hommes ou garçonnets (autres qu'en bonneterie et sauf survêtements de sport 'trainings', combinaisons et ensembles de ski, maillots, culottes et slips de bain)</v>
      </c>
      <c r="C4486">
        <v>1899792</v>
      </c>
      <c r="D4486">
        <v>975</v>
      </c>
    </row>
    <row r="4487" spans="1:4" x14ac:dyDescent="0.25">
      <c r="A4487" t="str">
        <f>T("   620319")</f>
        <v xml:space="preserve">   620319</v>
      </c>
      <c r="B4487" t="s">
        <v>288</v>
      </c>
      <c r="C4487">
        <v>5042752</v>
      </c>
      <c r="D4487">
        <v>11546</v>
      </c>
    </row>
    <row r="4488" spans="1:4" x14ac:dyDescent="0.25">
      <c r="A4488" t="str">
        <f>T("   620329")</f>
        <v xml:space="preserve">   620329</v>
      </c>
      <c r="B4488"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4488">
        <v>1683347</v>
      </c>
      <c r="D4488">
        <v>301</v>
      </c>
    </row>
    <row r="4489" spans="1:4" x14ac:dyDescent="0.25">
      <c r="A4489" t="str">
        <f>T("   620339")</f>
        <v xml:space="preserve">   620339</v>
      </c>
      <c r="B4489"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4489">
        <v>947146</v>
      </c>
      <c r="D4489">
        <v>161</v>
      </c>
    </row>
    <row r="4490" spans="1:4" x14ac:dyDescent="0.25">
      <c r="A4490" t="str">
        <f>T("   620342")</f>
        <v xml:space="preserve">   620342</v>
      </c>
      <c r="B4490"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4490">
        <v>3446414</v>
      </c>
      <c r="D4490">
        <v>249</v>
      </c>
    </row>
    <row r="4491" spans="1:4" x14ac:dyDescent="0.25">
      <c r="A4491" t="str">
        <f>T("   620349")</f>
        <v xml:space="preserve">   620349</v>
      </c>
      <c r="B4491" t="s">
        <v>289</v>
      </c>
      <c r="C4491">
        <v>19113056</v>
      </c>
      <c r="D4491">
        <v>2073</v>
      </c>
    </row>
    <row r="4492" spans="1:4" x14ac:dyDescent="0.25">
      <c r="A4492" t="str">
        <f>T("   620419")</f>
        <v xml:space="preserve">   620419</v>
      </c>
      <c r="B4492"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4492">
        <v>1581294</v>
      </c>
      <c r="D4492">
        <v>1760</v>
      </c>
    </row>
    <row r="4493" spans="1:4" x14ac:dyDescent="0.25">
      <c r="A4493" t="str">
        <f>T("   620429")</f>
        <v xml:space="preserve">   620429</v>
      </c>
      <c r="B4493"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4493">
        <v>2249943</v>
      </c>
      <c r="D4493">
        <v>7351</v>
      </c>
    </row>
    <row r="4494" spans="1:4" x14ac:dyDescent="0.25">
      <c r="A4494" t="str">
        <f>T("   620442")</f>
        <v xml:space="preserve">   620442</v>
      </c>
      <c r="B4494" t="str">
        <f>T("   Robes de coton, pour femmes ou fillettes (autres qu'en bonneterie et sauf combinaisons et fonds de robes)")</f>
        <v xml:space="preserve">   Robes de coton, pour femmes ou fillettes (autres qu'en bonneterie et sauf combinaisons et fonds de robes)</v>
      </c>
      <c r="C4494">
        <v>688758</v>
      </c>
      <c r="D4494">
        <v>40</v>
      </c>
    </row>
    <row r="4495" spans="1:4" x14ac:dyDescent="0.25">
      <c r="A4495" t="str">
        <f>T("   620443")</f>
        <v xml:space="preserve">   620443</v>
      </c>
      <c r="B4495" t="str">
        <f>T("   Robes de fibres synthétiques, pour femmes ou fillettes (autres qu'en bonneterie et sauf combinaisons et fonds de robes)")</f>
        <v xml:space="preserve">   Robes de fibres synthétiques, pour femmes ou fillettes (autres qu'en bonneterie et sauf combinaisons et fonds de robes)</v>
      </c>
      <c r="C4495">
        <v>109537</v>
      </c>
      <c r="D4495">
        <v>5</v>
      </c>
    </row>
    <row r="4496" spans="1:4" x14ac:dyDescent="0.25">
      <c r="A4496" t="str">
        <f>T("   620449")</f>
        <v xml:space="preserve">   620449</v>
      </c>
      <c r="B4496"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4496">
        <v>2695996</v>
      </c>
      <c r="D4496">
        <v>43</v>
      </c>
    </row>
    <row r="4497" spans="1:4" x14ac:dyDescent="0.25">
      <c r="A4497" t="str">
        <f>T("   620469")</f>
        <v xml:space="preserve">   620469</v>
      </c>
      <c r="B4497" t="s">
        <v>290</v>
      </c>
      <c r="C4497">
        <v>546415</v>
      </c>
      <c r="D4497">
        <v>60</v>
      </c>
    </row>
    <row r="4498" spans="1:4" x14ac:dyDescent="0.25">
      <c r="A4498" t="str">
        <f>T("   620520")</f>
        <v xml:space="preserve">   620520</v>
      </c>
      <c r="B4498"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4498">
        <v>8026677</v>
      </c>
      <c r="D4498">
        <v>1358.46</v>
      </c>
    </row>
    <row r="4499" spans="1:4" x14ac:dyDescent="0.25">
      <c r="A4499" t="str">
        <f>T("   620590")</f>
        <v xml:space="preserve">   620590</v>
      </c>
      <c r="B449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499">
        <v>42258513</v>
      </c>
      <c r="D4499">
        <v>36716</v>
      </c>
    </row>
    <row r="4500" spans="1:4" x14ac:dyDescent="0.25">
      <c r="A4500" t="str">
        <f>T("   620690")</f>
        <v xml:space="preserve">   620690</v>
      </c>
      <c r="B4500" t="s">
        <v>291</v>
      </c>
      <c r="C4500">
        <v>2134319</v>
      </c>
      <c r="D4500">
        <v>8140</v>
      </c>
    </row>
    <row r="4501" spans="1:4" x14ac:dyDescent="0.25">
      <c r="A4501" t="str">
        <f>T("   620719")</f>
        <v xml:space="preserve">   620719</v>
      </c>
      <c r="B4501" t="str">
        <f>T("   SLIPS ET CALETHONS, DE MATIÈRES TEXTILES, POUR HOMMES OU GARÇONNETS (AUTRES QUE DE COTON ET AUTRES QU'EN BONNETERIE)")</f>
        <v xml:space="preserve">   SLIPS ET CALETHONS, DE MATIÈRES TEXTILES, POUR HOMMES OU GARÇONNETS (AUTRES QUE DE COTON ET AUTRES QU'EN BONNETERIE)</v>
      </c>
      <c r="C4501">
        <v>8572741</v>
      </c>
      <c r="D4501">
        <v>2948</v>
      </c>
    </row>
    <row r="4502" spans="1:4" x14ac:dyDescent="0.25">
      <c r="A4502" t="str">
        <f>T("   620799")</f>
        <v xml:space="preserve">   620799</v>
      </c>
      <c r="B4502"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4502">
        <v>2292580</v>
      </c>
      <c r="D4502">
        <v>189</v>
      </c>
    </row>
    <row r="4503" spans="1:4" x14ac:dyDescent="0.25">
      <c r="A4503" t="str">
        <f>T("   620819")</f>
        <v xml:space="preserve">   620819</v>
      </c>
      <c r="B4503" t="str">
        <f>T("   Combinaisons ou fonds de robes et jupons, de matières textiles, pour femmes ou fillettes (autres que de fibres synthétiques ou artificielles, autres qu'en bonneterie et sauf gilets de corps et chemises de jour)")</f>
        <v xml:space="preserve">   Combinaisons ou fonds de robes et jupons, de matières textiles, pour femmes ou fillettes (autres que de fibres synthétiques ou artificielles, autres qu'en bonneterie et sauf gilets de corps et chemises de jour)</v>
      </c>
      <c r="C4503">
        <v>140375</v>
      </c>
      <c r="D4503">
        <v>87</v>
      </c>
    </row>
    <row r="4504" spans="1:4" x14ac:dyDescent="0.25">
      <c r="A4504" t="str">
        <f>T("   620829")</f>
        <v xml:space="preserve">   620829</v>
      </c>
      <c r="B4504"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4504">
        <v>573965</v>
      </c>
      <c r="D4504">
        <v>31</v>
      </c>
    </row>
    <row r="4505" spans="1:4" x14ac:dyDescent="0.25">
      <c r="A4505" t="str">
        <f>T("   620899")</f>
        <v xml:space="preserve">   620899</v>
      </c>
      <c r="B4505" t="s">
        <v>293</v>
      </c>
      <c r="C4505">
        <v>957046</v>
      </c>
      <c r="D4505">
        <v>125</v>
      </c>
    </row>
    <row r="4506" spans="1:4" x14ac:dyDescent="0.25">
      <c r="A4506" t="str">
        <f>T("   620920")</f>
        <v xml:space="preserve">   620920</v>
      </c>
      <c r="B4506" t="str">
        <f>T("   Vêtements et accessoires du vêtement, de coton, pour bébés (autres qu'en bonneterie et sauf bonnets)")</f>
        <v xml:space="preserve">   Vêtements et accessoires du vêtement, de coton, pour bébés (autres qu'en bonneterie et sauf bonnets)</v>
      </c>
      <c r="C4506">
        <v>160656</v>
      </c>
      <c r="D4506">
        <v>288</v>
      </c>
    </row>
    <row r="4507" spans="1:4" x14ac:dyDescent="0.25">
      <c r="A4507" t="str">
        <f>T("   621010")</f>
        <v xml:space="preserve">   621010</v>
      </c>
      <c r="B4507" t="str">
        <f>T("   Vêtements en feutres ou non-tissés, même imprégnés, enduits, recouverts ou stratifiés (sauf vêtements pour bébés et sauf accessoires du vêtement)")</f>
        <v xml:space="preserve">   Vêtements en feutres ou non-tissés, même imprégnés, enduits, recouverts ou stratifiés (sauf vêtements pour bébés et sauf accessoires du vêtement)</v>
      </c>
      <c r="C4507">
        <v>30174</v>
      </c>
      <c r="D4507">
        <v>2</v>
      </c>
    </row>
    <row r="4508" spans="1:4" x14ac:dyDescent="0.25">
      <c r="A4508" t="str">
        <f>T("   621020")</f>
        <v xml:space="preserve">   621020</v>
      </c>
      <c r="B4508"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4508">
        <v>1718417</v>
      </c>
      <c r="D4508">
        <v>308</v>
      </c>
    </row>
    <row r="4509" spans="1:4" x14ac:dyDescent="0.25">
      <c r="A4509" t="str">
        <f>T("   621040")</f>
        <v xml:space="preserve">   621040</v>
      </c>
      <c r="B4509" t="s">
        <v>294</v>
      </c>
      <c r="C4509">
        <v>23330129</v>
      </c>
      <c r="D4509">
        <v>25349</v>
      </c>
    </row>
    <row r="4510" spans="1:4" x14ac:dyDescent="0.25">
      <c r="A4510" t="str">
        <f>T("   621050")</f>
        <v xml:space="preserve">   621050</v>
      </c>
      <c r="B4510" t="s">
        <v>295</v>
      </c>
      <c r="C4510">
        <v>6179598</v>
      </c>
      <c r="D4510">
        <v>1399</v>
      </c>
    </row>
    <row r="4511" spans="1:4" x14ac:dyDescent="0.25">
      <c r="A4511" t="str">
        <f>T("   621111")</f>
        <v xml:space="preserve">   621111</v>
      </c>
      <c r="B4511" t="str">
        <f>T("   Maillots, culottes et slips de bain, pour hommes ou garçonnets (autres qu'en bonneterie)")</f>
        <v xml:space="preserve">   Maillots, culottes et slips de bain, pour hommes ou garçonnets (autres qu'en bonneterie)</v>
      </c>
      <c r="C4511">
        <v>160000</v>
      </c>
      <c r="D4511">
        <v>30</v>
      </c>
    </row>
    <row r="4512" spans="1:4" x14ac:dyDescent="0.25">
      <c r="A4512" t="str">
        <f>T("   621132")</f>
        <v xml:space="preserve">   621132</v>
      </c>
      <c r="B4512" t="str">
        <f>T("   Survêtements de sport 'trainings' et autres vêtements n.d.a., de coton, pour hommes ou garçonnets (autres qu'en bonneterie)")</f>
        <v xml:space="preserve">   Survêtements de sport 'trainings' et autres vêtements n.d.a., de coton, pour hommes ou garçonnets (autres qu'en bonneterie)</v>
      </c>
      <c r="C4512">
        <v>1530445</v>
      </c>
      <c r="D4512">
        <v>1070</v>
      </c>
    </row>
    <row r="4513" spans="1:4" x14ac:dyDescent="0.25">
      <c r="A4513" t="str">
        <f>T("   621139")</f>
        <v xml:space="preserve">   621139</v>
      </c>
      <c r="B4513"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4513">
        <v>1015000</v>
      </c>
      <c r="D4513">
        <v>68</v>
      </c>
    </row>
    <row r="4514" spans="1:4" x14ac:dyDescent="0.25">
      <c r="A4514" t="str">
        <f>T("   621149")</f>
        <v xml:space="preserve">   621149</v>
      </c>
      <c r="B4514"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4514">
        <v>430284</v>
      </c>
      <c r="D4514">
        <v>41</v>
      </c>
    </row>
    <row r="4515" spans="1:4" x14ac:dyDescent="0.25">
      <c r="A4515" t="str">
        <f>T("   621210")</f>
        <v xml:space="preserve">   621210</v>
      </c>
      <c r="B4515" t="str">
        <f>T("   Soutiens-gorge et bustiers en tous types de matières textiles, même élastiques et même en bonneterie")</f>
        <v xml:space="preserve">   Soutiens-gorge et bustiers en tous types de matières textiles, même élastiques et même en bonneterie</v>
      </c>
      <c r="C4515">
        <v>8563558</v>
      </c>
      <c r="D4515">
        <v>2948</v>
      </c>
    </row>
    <row r="4516" spans="1:4" x14ac:dyDescent="0.25">
      <c r="A4516" t="str">
        <f>T("   621290")</f>
        <v xml:space="preserve">   621290</v>
      </c>
      <c r="B4516" t="s">
        <v>296</v>
      </c>
      <c r="C4516">
        <v>250000</v>
      </c>
      <c r="D4516">
        <v>165</v>
      </c>
    </row>
    <row r="4517" spans="1:4" x14ac:dyDescent="0.25">
      <c r="A4517" t="str">
        <f>T("   621490")</f>
        <v xml:space="preserve">   621490</v>
      </c>
      <c r="B4517"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4517">
        <v>552974</v>
      </c>
      <c r="D4517">
        <v>23</v>
      </c>
    </row>
    <row r="4518" spans="1:4" x14ac:dyDescent="0.25">
      <c r="A4518" t="str">
        <f>T("   621590")</f>
        <v xml:space="preserve">   621590</v>
      </c>
      <c r="B4518"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4518">
        <v>645006</v>
      </c>
      <c r="D4518">
        <v>355.7</v>
      </c>
    </row>
    <row r="4519" spans="1:4" x14ac:dyDescent="0.25">
      <c r="A4519" t="str">
        <f>T("   621710")</f>
        <v xml:space="preserve">   621710</v>
      </c>
      <c r="B4519" t="str">
        <f>T("   Accessoires confectionnés du vêtement en tous types de matières textiles, n.d.a. (autres qu'en bonneterie)")</f>
        <v xml:space="preserve">   Accessoires confectionnés du vêtement en tous types de matières textiles, n.d.a. (autres qu'en bonneterie)</v>
      </c>
      <c r="C4519">
        <v>5550734</v>
      </c>
      <c r="D4519">
        <v>973</v>
      </c>
    </row>
    <row r="4520" spans="1:4" x14ac:dyDescent="0.25">
      <c r="A4520" t="str">
        <f>T("   630210")</f>
        <v xml:space="preserve">   630210</v>
      </c>
      <c r="B4520" t="str">
        <f>T("   LINGE DE LIT EN BONNETERIE")</f>
        <v xml:space="preserve">   LINGE DE LIT EN BONNETERIE</v>
      </c>
      <c r="C4520">
        <v>17055</v>
      </c>
      <c r="D4520">
        <v>13</v>
      </c>
    </row>
    <row r="4521" spans="1:4" x14ac:dyDescent="0.25">
      <c r="A4521" t="str">
        <f>T("   630221")</f>
        <v xml:space="preserve">   630221</v>
      </c>
      <c r="B4521" t="str">
        <f>T("   Linge de lit de coton, imprimé (autre qu'en bonneterie)")</f>
        <v xml:space="preserve">   Linge de lit de coton, imprimé (autre qu'en bonneterie)</v>
      </c>
      <c r="C4521">
        <v>12775615</v>
      </c>
      <c r="D4521">
        <v>2971</v>
      </c>
    </row>
    <row r="4522" spans="1:4" x14ac:dyDescent="0.25">
      <c r="A4522" t="str">
        <f>T("   630229")</f>
        <v xml:space="preserve">   630229</v>
      </c>
      <c r="B4522"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4522">
        <v>2041768</v>
      </c>
      <c r="D4522">
        <v>483</v>
      </c>
    </row>
    <row r="4523" spans="1:4" x14ac:dyDescent="0.25">
      <c r="A4523" t="str">
        <f>T("   630231")</f>
        <v xml:space="preserve">   630231</v>
      </c>
      <c r="B4523" t="str">
        <f>T("   Linge de lit de coton (autre qu'imprimé, autre qu'en bonneterie)")</f>
        <v xml:space="preserve">   Linge de lit de coton (autre qu'imprimé, autre qu'en bonneterie)</v>
      </c>
      <c r="C4523">
        <v>11052268</v>
      </c>
      <c r="D4523">
        <v>2442</v>
      </c>
    </row>
    <row r="4524" spans="1:4" x14ac:dyDescent="0.25">
      <c r="A4524" t="str">
        <f>T("   630232")</f>
        <v xml:space="preserve">   630232</v>
      </c>
      <c r="B4524" t="str">
        <f>T("   Linge de lit de fibres synthétiques ou artificielles (autre qu'imprimé, autre qu'en bonneterie)")</f>
        <v xml:space="preserve">   Linge de lit de fibres synthétiques ou artificielles (autre qu'imprimé, autre qu'en bonneterie)</v>
      </c>
      <c r="C4524">
        <v>1249676</v>
      </c>
      <c r="D4524">
        <v>456</v>
      </c>
    </row>
    <row r="4525" spans="1:4" x14ac:dyDescent="0.25">
      <c r="A4525" t="str">
        <f>T("   630239")</f>
        <v xml:space="preserve">   630239</v>
      </c>
      <c r="B4525"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4525">
        <v>286655</v>
      </c>
      <c r="D4525">
        <v>1430</v>
      </c>
    </row>
    <row r="4526" spans="1:4" x14ac:dyDescent="0.25">
      <c r="A4526" t="str">
        <f>T("   630251")</f>
        <v xml:space="preserve">   630251</v>
      </c>
      <c r="B4526" t="str">
        <f>T("   Linge de table de coton (autre qu'en bonneterie)")</f>
        <v xml:space="preserve">   Linge de table de coton (autre qu'en bonneterie)</v>
      </c>
      <c r="C4526">
        <v>771409</v>
      </c>
      <c r="D4526">
        <v>165</v>
      </c>
    </row>
    <row r="4527" spans="1:4" x14ac:dyDescent="0.25">
      <c r="A4527" t="str">
        <f>T("   630253")</f>
        <v xml:space="preserve">   630253</v>
      </c>
      <c r="B4527" t="str">
        <f>T("   Linge de table de fibres synthétiques ou artificielles (autres qu'en bonneterie)")</f>
        <v xml:space="preserve">   Linge de table de fibres synthétiques ou artificielles (autres qu'en bonneterie)</v>
      </c>
      <c r="C4527">
        <v>2849489</v>
      </c>
      <c r="D4527">
        <v>628</v>
      </c>
    </row>
    <row r="4528" spans="1:4" x14ac:dyDescent="0.25">
      <c r="A4528" t="str">
        <f>T("   630260")</f>
        <v xml:space="preserve">   630260</v>
      </c>
      <c r="B452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4528">
        <v>1384838</v>
      </c>
      <c r="D4528">
        <v>970</v>
      </c>
    </row>
    <row r="4529" spans="1:4" x14ac:dyDescent="0.25">
      <c r="A4529" t="str">
        <f>T("   630299")</f>
        <v xml:space="preserve">   630299</v>
      </c>
      <c r="B4529"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4529">
        <v>2061951</v>
      </c>
      <c r="D4529">
        <v>1373</v>
      </c>
    </row>
    <row r="4530" spans="1:4" x14ac:dyDescent="0.25">
      <c r="A4530" t="str">
        <f>T("   630319")</f>
        <v xml:space="preserve">   630319</v>
      </c>
      <c r="B4530"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4530">
        <v>200000</v>
      </c>
      <c r="D4530">
        <v>178</v>
      </c>
    </row>
    <row r="4531" spans="1:4" x14ac:dyDescent="0.25">
      <c r="A4531" t="str">
        <f>T("   630391")</f>
        <v xml:space="preserve">   630391</v>
      </c>
      <c r="B4531" t="str">
        <f>T("   Vitrages, rideaux et stores d'intérieur ainsi que cantonnières et tours de lit, de coton (autres qu'en bonneterie et autres que stores d'extérieur)")</f>
        <v xml:space="preserve">   Vitrages, rideaux et stores d'intérieur ainsi que cantonnières et tours de lit, de coton (autres qu'en bonneterie et autres que stores d'extérieur)</v>
      </c>
      <c r="C4531">
        <v>24926</v>
      </c>
      <c r="D4531">
        <v>3</v>
      </c>
    </row>
    <row r="4532" spans="1:4" x14ac:dyDescent="0.25">
      <c r="A4532" t="str">
        <f>T("   630399")</f>
        <v xml:space="preserve">   630399</v>
      </c>
      <c r="B453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4532">
        <v>26568384</v>
      </c>
      <c r="D4532">
        <v>4038</v>
      </c>
    </row>
    <row r="4533" spans="1:4" x14ac:dyDescent="0.25">
      <c r="A4533" t="str">
        <f>T("   630510")</f>
        <v xml:space="preserve">   630510</v>
      </c>
      <c r="B4533" t="str">
        <f>T("   Sacs et sachets d'emballage de jute ou d'autres fibres textiles libériennes du n° 5303")</f>
        <v xml:space="preserve">   Sacs et sachets d'emballage de jute ou d'autres fibres textiles libériennes du n° 5303</v>
      </c>
      <c r="C4533">
        <v>50000</v>
      </c>
      <c r="D4533">
        <v>10</v>
      </c>
    </row>
    <row r="4534" spans="1:4" x14ac:dyDescent="0.25">
      <c r="A4534" t="str">
        <f>T("   630533")</f>
        <v xml:space="preserve">   630533</v>
      </c>
      <c r="B4534"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4534">
        <v>37777</v>
      </c>
      <c r="D4534">
        <v>5</v>
      </c>
    </row>
    <row r="4535" spans="1:4" x14ac:dyDescent="0.25">
      <c r="A4535" t="str">
        <f>T("   630539")</f>
        <v xml:space="preserve">   630539</v>
      </c>
      <c r="B4535"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4535">
        <v>45261</v>
      </c>
      <c r="D4535">
        <v>11</v>
      </c>
    </row>
    <row r="4536" spans="1:4" x14ac:dyDescent="0.25">
      <c r="A4536" t="str">
        <f>T("   630590")</f>
        <v xml:space="preserve">   630590</v>
      </c>
      <c r="B4536"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4536">
        <v>329948</v>
      </c>
      <c r="D4536">
        <v>3000</v>
      </c>
    </row>
    <row r="4537" spans="1:4" x14ac:dyDescent="0.25">
      <c r="A4537" t="str">
        <f>T("   630619")</f>
        <v xml:space="preserve">   630619</v>
      </c>
      <c r="B4537"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4537">
        <v>357498</v>
      </c>
      <c r="D4537">
        <v>200</v>
      </c>
    </row>
    <row r="4538" spans="1:4" x14ac:dyDescent="0.25">
      <c r="A4538" t="str">
        <f>T("   630710")</f>
        <v xml:space="preserve">   630710</v>
      </c>
      <c r="B4538" t="str">
        <f>T("   Serpillières ou wassingues, lavettes, chamoisettes et articles d'entretien simil. en tous types de matières textiles")</f>
        <v xml:space="preserve">   Serpillières ou wassingues, lavettes, chamoisettes et articles d'entretien simil. en tous types de matières textiles</v>
      </c>
      <c r="C4538">
        <v>5641819</v>
      </c>
      <c r="D4538">
        <v>5576</v>
      </c>
    </row>
    <row r="4539" spans="1:4" x14ac:dyDescent="0.25">
      <c r="A4539" t="str">
        <f>T("   630720")</f>
        <v xml:space="preserve">   630720</v>
      </c>
      <c r="B4539" t="str">
        <f>T("   Ceintures et gilets de sauvetage en tous types de matières textiles")</f>
        <v xml:space="preserve">   Ceintures et gilets de sauvetage en tous types de matières textiles</v>
      </c>
      <c r="C4539">
        <v>1869546</v>
      </c>
      <c r="D4539">
        <v>128</v>
      </c>
    </row>
    <row r="4540" spans="1:4" x14ac:dyDescent="0.25">
      <c r="A4540" t="str">
        <f>T("   630790")</f>
        <v xml:space="preserve">   630790</v>
      </c>
      <c r="B4540" t="str">
        <f>T("   Articles de matières textiles, confectionnés, y.c. les patrons de vêtements n.d.a.")</f>
        <v xml:space="preserve">   Articles de matières textiles, confectionnés, y.c. les patrons de vêtements n.d.a.</v>
      </c>
      <c r="C4540">
        <v>26846530</v>
      </c>
      <c r="D4540">
        <v>3767.8</v>
      </c>
    </row>
    <row r="4541" spans="1:4" x14ac:dyDescent="0.25">
      <c r="A4541" t="str">
        <f>T("   630900")</f>
        <v xml:space="preserve">   630900</v>
      </c>
      <c r="B4541" t="s">
        <v>300</v>
      </c>
      <c r="C4541">
        <v>163010561</v>
      </c>
      <c r="D4541">
        <v>382782</v>
      </c>
    </row>
    <row r="4542" spans="1:4" x14ac:dyDescent="0.25">
      <c r="A4542" t="str">
        <f>T("   640110")</f>
        <v xml:space="preserve">   640110</v>
      </c>
      <c r="B4542" t="s">
        <v>301</v>
      </c>
      <c r="C4542">
        <v>231309</v>
      </c>
      <c r="D4542">
        <v>73</v>
      </c>
    </row>
    <row r="4543" spans="1:4" x14ac:dyDescent="0.25">
      <c r="A4543" t="str">
        <f>T("   640192")</f>
        <v xml:space="preserve">   640192</v>
      </c>
      <c r="B4543" t="s">
        <v>302</v>
      </c>
      <c r="C4543">
        <v>1706539</v>
      </c>
      <c r="D4543">
        <v>1024</v>
      </c>
    </row>
    <row r="4544" spans="1:4" x14ac:dyDescent="0.25">
      <c r="A4544" t="str">
        <f>T("   640199")</f>
        <v xml:space="preserve">   640199</v>
      </c>
      <c r="B4544" t="s">
        <v>301</v>
      </c>
      <c r="C4544">
        <v>566689</v>
      </c>
      <c r="D4544">
        <v>98</v>
      </c>
    </row>
    <row r="4545" spans="1:4" x14ac:dyDescent="0.25">
      <c r="A4545" t="str">
        <f>T("   640219")</f>
        <v xml:space="preserve">   640219</v>
      </c>
      <c r="B4545" t="s">
        <v>303</v>
      </c>
      <c r="C4545">
        <v>162000</v>
      </c>
      <c r="D4545">
        <v>100</v>
      </c>
    </row>
    <row r="4546" spans="1:4" x14ac:dyDescent="0.25">
      <c r="A4546" t="str">
        <f>T("   640220")</f>
        <v xml:space="preserve">   640220</v>
      </c>
      <c r="B4546"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4546">
        <v>4474303</v>
      </c>
      <c r="D4546">
        <v>788</v>
      </c>
    </row>
    <row r="4547" spans="1:4" x14ac:dyDescent="0.25">
      <c r="A4547" t="str">
        <f>T("   640291")</f>
        <v xml:space="preserve">   640291</v>
      </c>
      <c r="B4547"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4547">
        <v>100000</v>
      </c>
      <c r="D4547">
        <v>95</v>
      </c>
    </row>
    <row r="4548" spans="1:4" x14ac:dyDescent="0.25">
      <c r="A4548" t="str">
        <f>T("   640299")</f>
        <v xml:space="preserve">   640299</v>
      </c>
      <c r="B4548" t="s">
        <v>305</v>
      </c>
      <c r="C4548">
        <v>39393021</v>
      </c>
      <c r="D4548">
        <v>3912</v>
      </c>
    </row>
    <row r="4549" spans="1:4" x14ac:dyDescent="0.25">
      <c r="A4549" t="str">
        <f>T("   640319")</f>
        <v xml:space="preserve">   640319</v>
      </c>
      <c r="B4549" t="s">
        <v>306</v>
      </c>
      <c r="C4549">
        <v>1358742</v>
      </c>
      <c r="D4549">
        <v>1847</v>
      </c>
    </row>
    <row r="4550" spans="1:4" x14ac:dyDescent="0.25">
      <c r="A4550" t="str">
        <f>T("   640320")</f>
        <v xml:space="preserve">   640320</v>
      </c>
      <c r="B4550"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4550">
        <v>1156000</v>
      </c>
      <c r="D4550">
        <v>839</v>
      </c>
    </row>
    <row r="4551" spans="1:4" x14ac:dyDescent="0.25">
      <c r="A4551" t="str">
        <f>T("   640340")</f>
        <v xml:space="preserve">   640340</v>
      </c>
      <c r="B4551"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4551">
        <v>28890080</v>
      </c>
      <c r="D4551">
        <v>6023</v>
      </c>
    </row>
    <row r="4552" spans="1:4" x14ac:dyDescent="0.25">
      <c r="A4552" t="str">
        <f>T("   640419")</f>
        <v xml:space="preserve">   640419</v>
      </c>
      <c r="B4552" t="s">
        <v>310</v>
      </c>
      <c r="C4552">
        <v>5402512</v>
      </c>
      <c r="D4552">
        <v>5440</v>
      </c>
    </row>
    <row r="4553" spans="1:4" x14ac:dyDescent="0.25">
      <c r="A4553" t="str">
        <f>T("   640420")</f>
        <v xml:space="preserve">   640420</v>
      </c>
      <c r="B4553"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4553">
        <v>869763</v>
      </c>
      <c r="D4553">
        <v>19</v>
      </c>
    </row>
    <row r="4554" spans="1:4" x14ac:dyDescent="0.25">
      <c r="A4554" t="str">
        <f>T("   640510")</f>
        <v xml:space="preserve">   640510</v>
      </c>
      <c r="B4554"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4554">
        <v>212033</v>
      </c>
      <c r="D4554">
        <v>278</v>
      </c>
    </row>
    <row r="4555" spans="1:4" x14ac:dyDescent="0.25">
      <c r="A4555" t="str">
        <f>T("   640520")</f>
        <v xml:space="preserve">   640520</v>
      </c>
      <c r="B4555"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4555">
        <v>156558</v>
      </c>
      <c r="D4555">
        <v>93</v>
      </c>
    </row>
    <row r="4556" spans="1:4" x14ac:dyDescent="0.25">
      <c r="A4556" t="str">
        <f>T("   640590")</f>
        <v xml:space="preserve">   640590</v>
      </c>
      <c r="B4556" t="s">
        <v>311</v>
      </c>
      <c r="C4556">
        <v>112000842</v>
      </c>
      <c r="D4556">
        <v>34739</v>
      </c>
    </row>
    <row r="4557" spans="1:4" x14ac:dyDescent="0.25">
      <c r="A4557" t="str">
        <f>T("   650590")</f>
        <v xml:space="preserve">   650590</v>
      </c>
      <c r="B4557" t="s">
        <v>312</v>
      </c>
      <c r="C4557">
        <v>9715155</v>
      </c>
      <c r="D4557">
        <v>499</v>
      </c>
    </row>
    <row r="4558" spans="1:4" x14ac:dyDescent="0.25">
      <c r="A4558" t="str">
        <f>T("   650610")</f>
        <v xml:space="preserve">   650610</v>
      </c>
      <c r="B4558" t="str">
        <f>T("   Coiffures de sécurité, même garnies")</f>
        <v xml:space="preserve">   Coiffures de sécurité, même garnies</v>
      </c>
      <c r="C4558">
        <v>10297485</v>
      </c>
      <c r="D4558">
        <v>2538</v>
      </c>
    </row>
    <row r="4559" spans="1:4" x14ac:dyDescent="0.25">
      <c r="A4559" t="str">
        <f>T("   650691")</f>
        <v xml:space="preserve">   650691</v>
      </c>
      <c r="B4559" t="s">
        <v>313</v>
      </c>
      <c r="C4559">
        <v>109434</v>
      </c>
      <c r="D4559">
        <v>9.5</v>
      </c>
    </row>
    <row r="4560" spans="1:4" x14ac:dyDescent="0.25">
      <c r="A4560" t="str">
        <f>T("   650699")</f>
        <v xml:space="preserve">   650699</v>
      </c>
      <c r="B4560" t="str">
        <f>T("   Chapeaux et autres coiffures, même garnis, n.d.a.")</f>
        <v xml:space="preserve">   Chapeaux et autres coiffures, même garnis, n.d.a.</v>
      </c>
      <c r="C4560">
        <v>3798329</v>
      </c>
      <c r="D4560">
        <v>9472</v>
      </c>
    </row>
    <row r="4561" spans="1:4" x14ac:dyDescent="0.25">
      <c r="A4561" t="str">
        <f>T("   650700")</f>
        <v xml:space="preserve">   650700</v>
      </c>
      <c r="B4561"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4561">
        <v>482787</v>
      </c>
      <c r="D4561">
        <v>30</v>
      </c>
    </row>
    <row r="4562" spans="1:4" x14ac:dyDescent="0.25">
      <c r="A4562" t="str">
        <f>T("   660110")</f>
        <v xml:space="preserve">   660110</v>
      </c>
      <c r="B4562" t="str">
        <f>T("   Parasols de jardin et articles simil. (sauf tentes de plage)")</f>
        <v xml:space="preserve">   Parasols de jardin et articles simil. (sauf tentes de plage)</v>
      </c>
      <c r="C4562">
        <v>9009099</v>
      </c>
      <c r="D4562">
        <v>1544</v>
      </c>
    </row>
    <row r="4563" spans="1:4" x14ac:dyDescent="0.25">
      <c r="A4563" t="str">
        <f>T("   660191")</f>
        <v xml:space="preserve">   660191</v>
      </c>
      <c r="B4563" t="str">
        <f>T("   Parapluies, y.c. les parapluies-cannes et ombrelles, à mât ou à manche télescopique (sauf jouets d'enfants)")</f>
        <v xml:space="preserve">   Parapluies, y.c. les parapluies-cannes et ombrelles, à mât ou à manche télescopique (sauf jouets d'enfants)</v>
      </c>
      <c r="C4563">
        <v>12463</v>
      </c>
      <c r="D4563">
        <v>1</v>
      </c>
    </row>
    <row r="4564" spans="1:4" x14ac:dyDescent="0.25">
      <c r="A4564" t="str">
        <f>T("   660199")</f>
        <v xml:space="preserve">   660199</v>
      </c>
      <c r="B4564"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4564">
        <v>23295167</v>
      </c>
      <c r="D4564">
        <v>1980</v>
      </c>
    </row>
    <row r="4565" spans="1:4" x14ac:dyDescent="0.25">
      <c r="A4565" t="str">
        <f>T("   660390")</f>
        <v xml:space="preserve">   660390</v>
      </c>
      <c r="B4565" t="str">
        <f>T("   PARTIES, GARNITURES ET ACCESSOIRES RECONNAISSABLES COMME ÉTANT DESTINÉS AUX PARAPLUIES, OMBRELLES ET PARASOLS DU N° 6601 OU AUX CANNES, CANNES-SIÈGES, FOUETS, CRAVACHES ET ARTICLES SIMIL. DU N° 6602 (SAUF MONTURES ASSEMBLÉES MÊME AVEC MÂTS OU MANCHES)")</f>
        <v xml:space="preserve">   PARTIES, GARNITURES ET ACCESSOIRES RECONNAISSABLES COMME ÉTANT DESTINÉS AUX PARAPLUIES, OMBRELLES ET PARASOLS DU N° 6601 OU AUX CANNES, CANNES-SIÈGES, FOUETS, CRAVACHES ET ARTICLES SIMIL. DU N° 6602 (SAUF MONTURES ASSEMBLÉES MÊME AVEC MÂTS OU MANCHES)</v>
      </c>
      <c r="C4565">
        <v>101910</v>
      </c>
      <c r="D4565">
        <v>790</v>
      </c>
    </row>
    <row r="4566" spans="1:4" x14ac:dyDescent="0.25">
      <c r="A4566" t="str">
        <f>T("   670210")</f>
        <v xml:space="preserve">   670210</v>
      </c>
      <c r="B4566"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4566">
        <v>1537571</v>
      </c>
      <c r="D4566">
        <v>270</v>
      </c>
    </row>
    <row r="4567" spans="1:4" x14ac:dyDescent="0.25">
      <c r="A4567" t="str">
        <f>T("   670290")</f>
        <v xml:space="preserve">   670290</v>
      </c>
      <c r="B4567"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4567">
        <v>24126143</v>
      </c>
      <c r="D4567">
        <v>5739</v>
      </c>
    </row>
    <row r="4568" spans="1:4" x14ac:dyDescent="0.25">
      <c r="A4568" t="str">
        <f>T("   680100")</f>
        <v xml:space="preserve">   680100</v>
      </c>
      <c r="B4568" t="str">
        <f>T("   Pavés, bordures de trottoirs et dalles de pavage, en pierres naturelles (autres que l'ardoise)")</f>
        <v xml:space="preserve">   Pavés, bordures de trottoirs et dalles de pavage, en pierres naturelles (autres que l'ardoise)</v>
      </c>
      <c r="C4568">
        <v>216467</v>
      </c>
      <c r="D4568">
        <v>10</v>
      </c>
    </row>
    <row r="4569" spans="1:4" x14ac:dyDescent="0.25">
      <c r="A4569" t="str">
        <f>T("   680410")</f>
        <v xml:space="preserve">   680410</v>
      </c>
      <c r="B4569"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4569">
        <v>1960671</v>
      </c>
      <c r="D4569">
        <v>1557</v>
      </c>
    </row>
    <row r="4570" spans="1:4" x14ac:dyDescent="0.25">
      <c r="A4570" t="str">
        <f>T("   680422")</f>
        <v xml:space="preserve">   680422</v>
      </c>
      <c r="B4570" t="s">
        <v>321</v>
      </c>
      <c r="C4570">
        <v>4579669</v>
      </c>
      <c r="D4570">
        <v>2116</v>
      </c>
    </row>
    <row r="4571" spans="1:4" x14ac:dyDescent="0.25">
      <c r="A4571" t="str">
        <f>T("   680423")</f>
        <v xml:space="preserve">   680423</v>
      </c>
      <c r="B4571" t="s">
        <v>322</v>
      </c>
      <c r="C4571">
        <v>112169</v>
      </c>
      <c r="D4571">
        <v>23</v>
      </c>
    </row>
    <row r="4572" spans="1:4" x14ac:dyDescent="0.25">
      <c r="A4572" t="str">
        <f>T("   680430")</f>
        <v xml:space="preserve">   680430</v>
      </c>
      <c r="B4572" t="str">
        <f>T("   Pierres à aiguiser ou à polir à la main")</f>
        <v xml:space="preserve">   Pierres à aiguiser ou à polir à la main</v>
      </c>
      <c r="C4572">
        <v>729428</v>
      </c>
      <c r="D4572">
        <v>1731</v>
      </c>
    </row>
    <row r="4573" spans="1:4" x14ac:dyDescent="0.25">
      <c r="A4573" t="str">
        <f>T("   680510")</f>
        <v xml:space="preserve">   680510</v>
      </c>
      <c r="B4573"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573">
        <v>751731</v>
      </c>
      <c r="D4573">
        <v>163</v>
      </c>
    </row>
    <row r="4574" spans="1:4" x14ac:dyDescent="0.25">
      <c r="A4574" t="str">
        <f>T("   680520")</f>
        <v xml:space="preserve">   680520</v>
      </c>
      <c r="B4574"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574">
        <v>1989337</v>
      </c>
      <c r="D4574">
        <v>2876</v>
      </c>
    </row>
    <row r="4575" spans="1:4" x14ac:dyDescent="0.25">
      <c r="A4575" t="str">
        <f>T("   680530")</f>
        <v xml:space="preserve">   680530</v>
      </c>
      <c r="B4575" t="str">
        <f>T("   Abrasifs naturels ou artificiels en poudre ou en grains, appliqués sur un autre fond que des matières textiles seulement ou que du papier ou du carton seulement, même découpés, cousus ou autrement assemblés")</f>
        <v xml:space="preserve">   Abrasifs naturels ou artificiels en poudre ou en grains, appliqués sur un autre fond que des matières textiles seulement ou que du papier ou du carton seulement, même découpés, cousus ou autrement assemblés</v>
      </c>
      <c r="C4575">
        <v>530789</v>
      </c>
      <c r="D4575">
        <v>1100</v>
      </c>
    </row>
    <row r="4576" spans="1:4" x14ac:dyDescent="0.25">
      <c r="A4576" t="str">
        <f>T("   680610")</f>
        <v xml:space="preserve">   680610</v>
      </c>
      <c r="B4576"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4576">
        <v>50854610</v>
      </c>
      <c r="D4576">
        <v>72436</v>
      </c>
    </row>
    <row r="4577" spans="1:4" x14ac:dyDescent="0.25">
      <c r="A4577" t="str">
        <f>T("   680620")</f>
        <v xml:space="preserve">   680620</v>
      </c>
      <c r="B4577" t="str">
        <f>T("   Vermiculite expansée, argiles expansées, mousse de scories et produits minéraux simil. expansés, même mélangés entre eux")</f>
        <v xml:space="preserve">   Vermiculite expansée, argiles expansées, mousse de scories et produits minéraux simil. expansés, même mélangés entre eux</v>
      </c>
      <c r="C4577">
        <v>590364</v>
      </c>
      <c r="D4577">
        <v>200</v>
      </c>
    </row>
    <row r="4578" spans="1:4" x14ac:dyDescent="0.25">
      <c r="A4578" t="str">
        <f>T("   680710")</f>
        <v xml:space="preserve">   680710</v>
      </c>
      <c r="B4578" t="str">
        <f>T("   Ouvrages en asphalte ou en produits simil., p.ex. poix de pétrole, brais, en rouleaux")</f>
        <v xml:space="preserve">   Ouvrages en asphalte ou en produits simil., p.ex. poix de pétrole, brais, en rouleaux</v>
      </c>
      <c r="C4578">
        <v>100412986</v>
      </c>
      <c r="D4578">
        <v>163440</v>
      </c>
    </row>
    <row r="4579" spans="1:4" x14ac:dyDescent="0.25">
      <c r="A4579" t="str">
        <f>T("   680790")</f>
        <v xml:space="preserve">   680790</v>
      </c>
      <c r="B4579" t="str">
        <f>T("   Ouvrages en asphalte ou en produits simil., p.ex. poix de pétrole, brais (autres qu'en rouleaux)")</f>
        <v xml:space="preserve">   Ouvrages en asphalte ou en produits simil., p.ex. poix de pétrole, brais (autres qu'en rouleaux)</v>
      </c>
      <c r="C4579">
        <v>929535</v>
      </c>
      <c r="D4579">
        <v>1116</v>
      </c>
    </row>
    <row r="4580" spans="1:4" x14ac:dyDescent="0.25">
      <c r="A4580" t="str">
        <f>T("   680800")</f>
        <v xml:space="preserve">   680800</v>
      </c>
      <c r="B4580" t="s">
        <v>324</v>
      </c>
      <c r="C4580">
        <v>9790203</v>
      </c>
      <c r="D4580">
        <v>140350</v>
      </c>
    </row>
    <row r="4581" spans="1:4" x14ac:dyDescent="0.25">
      <c r="A4581" t="str">
        <f>T("   680990")</f>
        <v xml:space="preserve">   680990</v>
      </c>
      <c r="B4581" t="s">
        <v>326</v>
      </c>
      <c r="C4581">
        <v>2120718</v>
      </c>
      <c r="D4581">
        <v>1985</v>
      </c>
    </row>
    <row r="4582" spans="1:4" x14ac:dyDescent="0.25">
      <c r="A4582" t="str">
        <f>T("   681019")</f>
        <v xml:space="preserve">   681019</v>
      </c>
      <c r="B4582"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4582">
        <v>23504548</v>
      </c>
      <c r="D4582">
        <v>176127.4</v>
      </c>
    </row>
    <row r="4583" spans="1:4" x14ac:dyDescent="0.25">
      <c r="A4583" t="str">
        <f>T("   681091")</f>
        <v xml:space="preserve">   681091</v>
      </c>
      <c r="B4583"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4583">
        <v>563273</v>
      </c>
      <c r="D4583">
        <v>450</v>
      </c>
    </row>
    <row r="4584" spans="1:4" x14ac:dyDescent="0.25">
      <c r="A4584" t="str">
        <f>T("   681181")</f>
        <v xml:space="preserve">   681181</v>
      </c>
      <c r="B4584" t="str">
        <f>T("   PLAQUES ONDULÉES EN AMIANTE-CIMENT, CELLULOSE-CIMENT OU SIMIL., NE CONTENANT PAS DE L'AMIANTE")</f>
        <v xml:space="preserve">   PLAQUES ONDULÉES EN AMIANTE-CIMENT, CELLULOSE-CIMENT OU SIMIL., NE CONTENANT PAS DE L'AMIANTE</v>
      </c>
      <c r="C4584">
        <v>18423292</v>
      </c>
      <c r="D4584">
        <v>211500</v>
      </c>
    </row>
    <row r="4585" spans="1:4" x14ac:dyDescent="0.25">
      <c r="A4585" t="str">
        <f>T("   681381")</f>
        <v xml:space="preserve">   681381</v>
      </c>
      <c r="B4585" t="str">
        <f>T("   GARNITURES DE FREINS ET PLAQUETTES DE FREINS, À BASE D'AMIANTE, D'AUTRES SUBSTANCES MINÉRALES OU DE CELLULOSE, MÊME COMBINÉES À DES MATIÈRES TEXTILES OU D'AUTRES MATIÈRES, NE CONTENANT PAS DE L'AMIANTE")</f>
        <v xml:space="preserve">   GARNITURES DE FREINS ET PLAQUETTES DE FREINS, À BASE D'AMIANTE, D'AUTRES SUBSTANCES MINÉRALES OU DE CELLULOSE, MÊME COMBINÉES À DES MATIÈRES TEXTILES OU D'AUTRES MATIÈRES, NE CONTENANT PAS DE L'AMIANTE</v>
      </c>
      <c r="C4585">
        <v>550534</v>
      </c>
      <c r="D4585">
        <v>43</v>
      </c>
    </row>
    <row r="4586" spans="1:4" x14ac:dyDescent="0.25">
      <c r="A4586" t="str">
        <f>T("   681389")</f>
        <v xml:space="preserve">   681389</v>
      </c>
      <c r="B4586" t="s">
        <v>327</v>
      </c>
      <c r="C4586">
        <v>312742</v>
      </c>
      <c r="D4586">
        <v>3</v>
      </c>
    </row>
    <row r="4587" spans="1:4" x14ac:dyDescent="0.25">
      <c r="A4587" t="str">
        <f>T("   690510")</f>
        <v xml:space="preserve">   690510</v>
      </c>
      <c r="B4587" t="str">
        <f>T("   Tuiles")</f>
        <v xml:space="preserve">   Tuiles</v>
      </c>
      <c r="C4587">
        <v>15285048</v>
      </c>
      <c r="D4587">
        <v>140697</v>
      </c>
    </row>
    <row r="4588" spans="1:4" x14ac:dyDescent="0.25">
      <c r="A4588" t="str">
        <f>T("   690790")</f>
        <v xml:space="preserve">   690790</v>
      </c>
      <c r="B4588" t="s">
        <v>335</v>
      </c>
      <c r="C4588">
        <v>98027247</v>
      </c>
      <c r="D4588">
        <v>455892</v>
      </c>
    </row>
    <row r="4589" spans="1:4" x14ac:dyDescent="0.25">
      <c r="A4589" t="str">
        <f>T("   690810")</f>
        <v xml:space="preserve">   690810</v>
      </c>
      <c r="B4589"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4589">
        <v>5100732</v>
      </c>
      <c r="D4589">
        <v>24777</v>
      </c>
    </row>
    <row r="4590" spans="1:4" x14ac:dyDescent="0.25">
      <c r="A4590" t="str">
        <f>T("   690890")</f>
        <v xml:space="preserve">   690890</v>
      </c>
      <c r="B4590" t="s">
        <v>336</v>
      </c>
      <c r="C4590">
        <v>231122869</v>
      </c>
      <c r="D4590">
        <v>1435223</v>
      </c>
    </row>
    <row r="4591" spans="1:4" x14ac:dyDescent="0.25">
      <c r="A4591" t="str">
        <f>T("   691010")</f>
        <v xml:space="preserve">   691010</v>
      </c>
      <c r="B4591" t="s">
        <v>338</v>
      </c>
      <c r="C4591">
        <v>13446452</v>
      </c>
      <c r="D4591">
        <v>17079</v>
      </c>
    </row>
    <row r="4592" spans="1:4" x14ac:dyDescent="0.25">
      <c r="A4592" t="str">
        <f>T("   691090")</f>
        <v xml:space="preserve">   691090</v>
      </c>
      <c r="B4592" t="s">
        <v>339</v>
      </c>
      <c r="C4592">
        <v>24587858</v>
      </c>
      <c r="D4592">
        <v>24412</v>
      </c>
    </row>
    <row r="4593" spans="1:4" x14ac:dyDescent="0.25">
      <c r="A4593" t="str">
        <f>T("   691110")</f>
        <v xml:space="preserve">   691110</v>
      </c>
      <c r="B4593" t="s">
        <v>340</v>
      </c>
      <c r="C4593">
        <v>49644594</v>
      </c>
      <c r="D4593">
        <v>14364</v>
      </c>
    </row>
    <row r="4594" spans="1:4" x14ac:dyDescent="0.25">
      <c r="A4594" t="str">
        <f>T("   691190")</f>
        <v xml:space="preserve">   691190</v>
      </c>
      <c r="B4594" t="s">
        <v>341</v>
      </c>
      <c r="C4594">
        <v>5693038</v>
      </c>
      <c r="D4594">
        <v>4293</v>
      </c>
    </row>
    <row r="4595" spans="1:4" x14ac:dyDescent="0.25">
      <c r="A4595" t="str">
        <f>T("   691200")</f>
        <v xml:space="preserve">   691200</v>
      </c>
      <c r="B4595" t="s">
        <v>342</v>
      </c>
      <c r="C4595">
        <v>7286834</v>
      </c>
      <c r="D4595">
        <v>1425</v>
      </c>
    </row>
    <row r="4596" spans="1:4" x14ac:dyDescent="0.25">
      <c r="A4596" t="str">
        <f>T("   691390")</f>
        <v xml:space="preserve">   691390</v>
      </c>
      <c r="B4596" t="str">
        <f>T("   Statuettes et autres objets d'ornementation en céramique autres que la porcelaine n.d.a.")</f>
        <v xml:space="preserve">   Statuettes et autres objets d'ornementation en céramique autres que la porcelaine n.d.a.</v>
      </c>
      <c r="C4596">
        <v>1982312</v>
      </c>
      <c r="D4596">
        <v>571</v>
      </c>
    </row>
    <row r="4597" spans="1:4" x14ac:dyDescent="0.25">
      <c r="A4597" t="str">
        <f>T("   700239")</f>
        <v xml:space="preserve">   700239</v>
      </c>
      <c r="B4597" t="str">
        <f>T("   Tubes en verre non travaillé (sauf à coefficient de dilatation linéaire &lt;= 5 x 10-6, par kelvin entre 0°C et 300°C et sauf en quartz fondu ou en un autre silice fondu)")</f>
        <v xml:space="preserve">   Tubes en verre non travaillé (sauf à coefficient de dilatation linéaire &lt;= 5 x 10-6, par kelvin entre 0°C et 300°C et sauf en quartz fondu ou en un autre silice fondu)</v>
      </c>
      <c r="C4597">
        <v>441462</v>
      </c>
      <c r="D4597">
        <v>8</v>
      </c>
    </row>
    <row r="4598" spans="1:4" x14ac:dyDescent="0.25">
      <c r="A4598" t="str">
        <f>T("   700529")</f>
        <v xml:space="preserve">   700529</v>
      </c>
      <c r="B4598" t="s">
        <v>343</v>
      </c>
      <c r="C4598">
        <v>22000000</v>
      </c>
      <c r="D4598">
        <v>60000</v>
      </c>
    </row>
    <row r="4599" spans="1:4" x14ac:dyDescent="0.25">
      <c r="A4599" t="str">
        <f>T("   700711")</f>
        <v xml:space="preserve">   700711</v>
      </c>
      <c r="B4599"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4599">
        <v>3908759</v>
      </c>
      <c r="D4599">
        <v>144</v>
      </c>
    </row>
    <row r="4600" spans="1:4" x14ac:dyDescent="0.25">
      <c r="A4600" t="str">
        <f>T("   700729")</f>
        <v xml:space="preserve">   700729</v>
      </c>
      <c r="B4600" t="s">
        <v>347</v>
      </c>
      <c r="C4600">
        <v>6955290</v>
      </c>
      <c r="D4600">
        <v>275</v>
      </c>
    </row>
    <row r="4601" spans="1:4" x14ac:dyDescent="0.25">
      <c r="A4601" t="str">
        <f>T("   700910")</f>
        <v xml:space="preserve">   700910</v>
      </c>
      <c r="B4601" t="str">
        <f>T("   Miroirs rétroviseurs en verre, même encadrés, pour véhicules")</f>
        <v xml:space="preserve">   Miroirs rétroviseurs en verre, même encadrés, pour véhicules</v>
      </c>
      <c r="C4601">
        <v>2344826</v>
      </c>
      <c r="D4601">
        <v>252.3</v>
      </c>
    </row>
    <row r="4602" spans="1:4" x14ac:dyDescent="0.25">
      <c r="A4602" t="str">
        <f>T("   700991")</f>
        <v xml:space="preserve">   700991</v>
      </c>
      <c r="B4602"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4602">
        <v>433078</v>
      </c>
      <c r="D4602">
        <v>25.23</v>
      </c>
    </row>
    <row r="4603" spans="1:4" x14ac:dyDescent="0.25">
      <c r="A4603" t="str">
        <f>T("   700992")</f>
        <v xml:space="preserve">   700992</v>
      </c>
      <c r="B4603" t="str">
        <f>T("   Miroirs, en verre encadrés (sauf miroirs rétroviseurs pour véhicules)")</f>
        <v xml:space="preserve">   Miroirs, en verre encadrés (sauf miroirs rétroviseurs pour véhicules)</v>
      </c>
      <c r="C4603">
        <v>2648302</v>
      </c>
      <c r="D4603">
        <v>541.65</v>
      </c>
    </row>
    <row r="4604" spans="1:4" x14ac:dyDescent="0.25">
      <c r="A4604" t="str">
        <f>T("   701090")</f>
        <v xml:space="preserve">   701090</v>
      </c>
      <c r="B4604" t="s">
        <v>348</v>
      </c>
      <c r="C4604">
        <v>289317053</v>
      </c>
      <c r="D4604">
        <v>867042</v>
      </c>
    </row>
    <row r="4605" spans="1:4" x14ac:dyDescent="0.25">
      <c r="A4605" t="str">
        <f>T("   701190")</f>
        <v xml:space="preserve">   701190</v>
      </c>
      <c r="B4605"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4605">
        <v>1479632</v>
      </c>
      <c r="D4605">
        <v>802</v>
      </c>
    </row>
    <row r="4606" spans="1:4" x14ac:dyDescent="0.25">
      <c r="A4606" t="str">
        <f>T("   701328")</f>
        <v xml:space="preserve">   701328</v>
      </c>
      <c r="B4606" t="str">
        <f>T("   VERRES À BOIRE À PIED (À L'EXCL. DES VERRES EN VITROCÉRAME ET EN CRISTAL AU PLOMB)")</f>
        <v xml:space="preserve">   VERRES À BOIRE À PIED (À L'EXCL. DES VERRES EN VITROCÉRAME ET EN CRISTAL AU PLOMB)</v>
      </c>
      <c r="C4606">
        <v>6560</v>
      </c>
      <c r="D4606">
        <v>44</v>
      </c>
    </row>
    <row r="4607" spans="1:4" x14ac:dyDescent="0.25">
      <c r="A4607" t="str">
        <f>T("   701329")</f>
        <v xml:space="preserve">   701329</v>
      </c>
      <c r="B4607" t="str">
        <f>T("   Verres à boire (autres qu'en vitrocérame, autres qu'en cristal au plomb)")</f>
        <v xml:space="preserve">   Verres à boire (autres qu'en vitrocérame, autres qu'en cristal au plomb)</v>
      </c>
      <c r="C4607">
        <v>4099251</v>
      </c>
      <c r="D4607">
        <v>6045</v>
      </c>
    </row>
    <row r="4608" spans="1:4" x14ac:dyDescent="0.25">
      <c r="A4608" t="str">
        <f>T("   701337")</f>
        <v xml:space="preserve">   701337</v>
      </c>
      <c r="B4608" t="str">
        <f>T("   VERRES À BOIRE (À L'EXCL. DES VERRES EN VITROCÉRAME ET EN CRISTAL AU PLOMB AINSI QUE DES VERRES À PIED)")</f>
        <v xml:space="preserve">   VERRES À BOIRE (À L'EXCL. DES VERRES EN VITROCÉRAME ET EN CRISTAL AU PLOMB AINSI QUE DES VERRES À PIED)</v>
      </c>
      <c r="C4608">
        <v>17716242</v>
      </c>
      <c r="D4608">
        <v>5049</v>
      </c>
    </row>
    <row r="4609" spans="1:4" x14ac:dyDescent="0.25">
      <c r="A4609" t="str">
        <f>T("   701349")</f>
        <v xml:space="preserve">   701349</v>
      </c>
      <c r="B4609" t="s">
        <v>353</v>
      </c>
      <c r="C4609">
        <v>19453132</v>
      </c>
      <c r="D4609">
        <v>6424</v>
      </c>
    </row>
    <row r="4610" spans="1:4" x14ac:dyDescent="0.25">
      <c r="A4610" t="str">
        <f>T("   701399")</f>
        <v xml:space="preserve">   701399</v>
      </c>
      <c r="B4610" t="s">
        <v>355</v>
      </c>
      <c r="C4610">
        <v>23733554</v>
      </c>
      <c r="D4610">
        <v>62854</v>
      </c>
    </row>
    <row r="4611" spans="1:4" x14ac:dyDescent="0.25">
      <c r="A4611" t="str">
        <f>T("   701690")</f>
        <v xml:space="preserve">   701690</v>
      </c>
      <c r="B4611" t="s">
        <v>356</v>
      </c>
      <c r="C4611">
        <v>6389392</v>
      </c>
      <c r="D4611">
        <v>21280</v>
      </c>
    </row>
    <row r="4612" spans="1:4" x14ac:dyDescent="0.25">
      <c r="A4612" t="str">
        <f>T("   701710")</f>
        <v xml:space="preserve">   701710</v>
      </c>
      <c r="B4612" t="s">
        <v>357</v>
      </c>
      <c r="C4612">
        <v>856349</v>
      </c>
      <c r="D4612">
        <v>173</v>
      </c>
    </row>
    <row r="4613" spans="1:4" x14ac:dyDescent="0.25">
      <c r="A4613" t="str">
        <f>T("   701720")</f>
        <v xml:space="preserve">   701720</v>
      </c>
      <c r="B4613" t="s">
        <v>358</v>
      </c>
      <c r="C4613">
        <v>8194448</v>
      </c>
      <c r="D4613">
        <v>405</v>
      </c>
    </row>
    <row r="4614" spans="1:4" x14ac:dyDescent="0.25">
      <c r="A4614" t="str">
        <f>T("   701790")</f>
        <v xml:space="preserve">   701790</v>
      </c>
      <c r="B4614" t="s">
        <v>359</v>
      </c>
      <c r="C4614">
        <v>9213596</v>
      </c>
      <c r="D4614">
        <v>631</v>
      </c>
    </row>
    <row r="4615" spans="1:4" x14ac:dyDescent="0.25">
      <c r="A4615" t="str">
        <f>T("   701820")</f>
        <v xml:space="preserve">   701820</v>
      </c>
      <c r="B4615" t="str">
        <f>T("   Microsphères de verre d'un diamètre &lt;= 1 mm")</f>
        <v xml:space="preserve">   Microsphères de verre d'un diamètre &lt;= 1 mm</v>
      </c>
      <c r="C4615">
        <v>3309974</v>
      </c>
      <c r="D4615">
        <v>10200</v>
      </c>
    </row>
    <row r="4616" spans="1:4" x14ac:dyDescent="0.25">
      <c r="A4616" t="str">
        <f>T("   701990")</f>
        <v xml:space="preserve">   701990</v>
      </c>
      <c r="B4616" t="s">
        <v>361</v>
      </c>
      <c r="C4616">
        <v>132937</v>
      </c>
      <c r="D4616">
        <v>150</v>
      </c>
    </row>
    <row r="4617" spans="1:4" x14ac:dyDescent="0.25">
      <c r="A4617" t="str">
        <f>T("   702000")</f>
        <v xml:space="preserve">   702000</v>
      </c>
      <c r="B4617" t="str">
        <f>T("   Ouvrages en verre n.d.a.")</f>
        <v xml:space="preserve">   Ouvrages en verre n.d.a.</v>
      </c>
      <c r="C4617">
        <v>1451967</v>
      </c>
      <c r="D4617">
        <v>67</v>
      </c>
    </row>
    <row r="4618" spans="1:4" x14ac:dyDescent="0.25">
      <c r="A4618" t="str">
        <f>T("   711319")</f>
        <v xml:space="preserve">   711319</v>
      </c>
      <c r="B4618"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4618">
        <v>1150160</v>
      </c>
      <c r="D4618">
        <v>244</v>
      </c>
    </row>
    <row r="4619" spans="1:4" x14ac:dyDescent="0.25">
      <c r="A4619" t="str">
        <f>T("   711590")</f>
        <v xml:space="preserve">   711590</v>
      </c>
      <c r="B4619" t="str">
        <f>T("   Ouvrages en métaux précieux ou en plaqués ou doublés de métaux précieux, n.d.a.")</f>
        <v xml:space="preserve">   Ouvrages en métaux précieux ou en plaqués ou doublés de métaux précieux, n.d.a.</v>
      </c>
      <c r="C4619">
        <v>5317461</v>
      </c>
      <c r="D4619">
        <v>17</v>
      </c>
    </row>
    <row r="4620" spans="1:4" x14ac:dyDescent="0.25">
      <c r="A4620" t="str">
        <f>T("   711719")</f>
        <v xml:space="preserve">   711719</v>
      </c>
      <c r="B4620"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4620">
        <v>876363</v>
      </c>
      <c r="D4620">
        <v>12</v>
      </c>
    </row>
    <row r="4621" spans="1:4" x14ac:dyDescent="0.25">
      <c r="A4621" t="str">
        <f>T("   711790")</f>
        <v xml:space="preserve">   711790</v>
      </c>
      <c r="B4621" t="str">
        <f>T("   Bijouterie de fantaisie (autre qu'en métaux communs, même argentés, dorés ou platinés)")</f>
        <v xml:space="preserve">   Bijouterie de fantaisie (autre qu'en métaux communs, même argentés, dorés ou platinés)</v>
      </c>
      <c r="C4621">
        <v>27696609</v>
      </c>
      <c r="D4621">
        <v>9690</v>
      </c>
    </row>
    <row r="4622" spans="1:4" x14ac:dyDescent="0.25">
      <c r="A4622" t="str">
        <f>T("   720825")</f>
        <v xml:space="preserve">   720825</v>
      </c>
      <c r="B4622" t="str">
        <f>T("   PRODUITS LAMINÉS PLATS, EN FER OU EN ACIERS NON ALLIÉS, D'UNE LARGEUR &gt;= 600 MM, ENROULÉS, SIMPLEMENT LAMINÉS À CHAUD, NON PLAQUÉS NI REVÊTUS, ÉPAISSEUR &gt;= 4,75 MM, DÉCAPÉS (SANS MOTIFS EN RELIEF)")</f>
        <v xml:space="preserve">   PRODUITS LAMINÉS PLATS, EN FER OU EN ACIERS NON ALLIÉS, D'UNE LARGEUR &gt;= 600 MM, ENROULÉS, SIMPLEMENT LAMINÉS À CHAUD, NON PLAQUÉS NI REVÊTUS, ÉPAISSEUR &gt;= 4,75 MM, DÉCAPÉS (SANS MOTIFS EN RELIEF)</v>
      </c>
      <c r="C4622">
        <v>4303753</v>
      </c>
      <c r="D4622">
        <v>7680</v>
      </c>
    </row>
    <row r="4623" spans="1:4" x14ac:dyDescent="0.25">
      <c r="A4623" t="str">
        <f>T("   720852")</f>
        <v xml:space="preserve">   720852</v>
      </c>
      <c r="B4623" t="str">
        <f>T("   PRODUITS LAMINÉS PLATS, EN FER OU EN ACIER NON-ALLIÉS, D'UNE LARGEUR &gt;= 600 MM, NON-ENROULÉS, SIMPL. LAMINÉS À CHAUD, NON-PLAQUÉS NI REVÊTUS, ÉPAISSEUR &gt;= 4,75 MM MAIS &lt;= 10 MM (SANS MOTIFS EN RELIEF)")</f>
        <v xml:space="preserve">   PRODUITS LAMINÉS PLATS, EN FER OU EN ACIER NON-ALLIÉS, D'UNE LARGEUR &gt;= 600 MM, NON-ENROULÉS, SIMPL. LAMINÉS À CHAUD, NON-PLAQUÉS NI REVÊTUS, ÉPAISSEUR &gt;= 4,75 MM MAIS &lt;= 10 MM (SANS MOTIFS EN RELIEF)</v>
      </c>
      <c r="C4623">
        <v>9035922</v>
      </c>
      <c r="D4623">
        <v>19773.22</v>
      </c>
    </row>
    <row r="4624" spans="1:4" x14ac:dyDescent="0.25">
      <c r="A4624" t="str">
        <f>T("   720854")</f>
        <v xml:space="preserve">   720854</v>
      </c>
      <c r="B4624" t="str">
        <f>T("   PRODUITS LAMINÉS PLATS, EN FER OU EN ACIER NON ALLIÉS, D'UNE LARGEUR &gt;= 600 MM, NON ENROULÉS, SIMPLEMENT LAMINÉS À CHAUD, NON PLAQUÉS NI REVÊTUS, ÉPAISSEUR &lt; 3 MM (SANS MOTIFS EN RELIEF)")</f>
        <v xml:space="preserve">   PRODUITS LAMINÉS PLATS, EN FER OU EN ACIER NON ALLIÉS, D'UNE LARGEUR &gt;= 600 MM, NON ENROULÉS, SIMPLEMENT LAMINÉS À CHAUD, NON PLAQUÉS NI REVÊTUS, ÉPAISSEUR &lt; 3 MM (SANS MOTIFS EN RELIEF)</v>
      </c>
      <c r="C4624">
        <v>36547128</v>
      </c>
      <c r="D4624">
        <v>90956.78</v>
      </c>
    </row>
    <row r="4625" spans="1:4" x14ac:dyDescent="0.25">
      <c r="A4625" t="str">
        <f>T("   720890")</f>
        <v xml:space="preserve">   720890</v>
      </c>
      <c r="B4625"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4625">
        <v>6729494</v>
      </c>
      <c r="D4625">
        <v>8640</v>
      </c>
    </row>
    <row r="4626" spans="1:4" x14ac:dyDescent="0.25">
      <c r="A4626" t="str">
        <f>T("   721049")</f>
        <v xml:space="preserve">   721049</v>
      </c>
      <c r="B4626"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4626">
        <v>995747</v>
      </c>
      <c r="D4626">
        <v>282</v>
      </c>
    </row>
    <row r="4627" spans="1:4" x14ac:dyDescent="0.25">
      <c r="A4627" t="str">
        <f>T("   721090")</f>
        <v xml:space="preserve">   721090</v>
      </c>
      <c r="B4627" t="s">
        <v>364</v>
      </c>
      <c r="C4627">
        <v>24005512</v>
      </c>
      <c r="D4627">
        <v>37787</v>
      </c>
    </row>
    <row r="4628" spans="1:4" x14ac:dyDescent="0.25">
      <c r="A4628" t="str">
        <f>T("   721240")</f>
        <v xml:space="preserve">   721240</v>
      </c>
      <c r="B4628" t="str">
        <f>T("   PRODUITS LAMINÉS PLATS, EN FER OU EN ACIERS NON-ALLIÉS, D'UNE LARGEUR &lt; 600 MM, LAMINÉS À CHAUD OU À FROID, PEINTS, VERNIS OU REVÊTUS DE MATIÈRES PLASTIQUES")</f>
        <v xml:space="preserve">   PRODUITS LAMINÉS PLATS, EN FER OU EN ACIERS NON-ALLIÉS, D'UNE LARGEUR &lt; 600 MM, LAMINÉS À CHAUD OU À FROID, PEINTS, VERNIS OU REVÊTUS DE MATIÈRES PLASTIQUES</v>
      </c>
      <c r="C4628">
        <v>2101697</v>
      </c>
      <c r="D4628">
        <v>1426</v>
      </c>
    </row>
    <row r="4629" spans="1:4" x14ac:dyDescent="0.25">
      <c r="A4629" t="str">
        <f>T("   721491")</f>
        <v xml:space="preserve">   721491</v>
      </c>
      <c r="B4629" t="s">
        <v>366</v>
      </c>
      <c r="C4629">
        <v>393740</v>
      </c>
      <c r="D4629">
        <v>21</v>
      </c>
    </row>
    <row r="4630" spans="1:4" x14ac:dyDescent="0.25">
      <c r="A4630" t="str">
        <f>T("   721590")</f>
        <v xml:space="preserve">   721590</v>
      </c>
      <c r="B463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4630">
        <v>236801</v>
      </c>
      <c r="D4630">
        <v>16</v>
      </c>
    </row>
    <row r="4631" spans="1:4" x14ac:dyDescent="0.25">
      <c r="A4631" t="str">
        <f>T("   721610")</f>
        <v xml:space="preserve">   721610</v>
      </c>
      <c r="B4631" t="str">
        <f>T("   PROFILÉS U, I OU H EN FER OU EN ACIERS NON ALLIÉS, SIMPLEMENT LAMINÉS OU FILÉS À CHAUD, HAUTEUR &lt; 80 MM")</f>
        <v xml:space="preserve">   PROFILÉS U, I OU H EN FER OU EN ACIERS NON ALLIÉS, SIMPLEMENT LAMINÉS OU FILÉS À CHAUD, HAUTEUR &lt; 80 MM</v>
      </c>
      <c r="C4631">
        <v>366026</v>
      </c>
      <c r="D4631">
        <v>9</v>
      </c>
    </row>
    <row r="4632" spans="1:4" x14ac:dyDescent="0.25">
      <c r="A4632" t="str">
        <f>T("   721661")</f>
        <v xml:space="preserve">   721661</v>
      </c>
      <c r="B4632"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4632">
        <v>3694366</v>
      </c>
      <c r="D4632">
        <v>953</v>
      </c>
    </row>
    <row r="4633" spans="1:4" x14ac:dyDescent="0.25">
      <c r="A4633" t="str">
        <f>T("   721699")</f>
        <v xml:space="preserve">   721699</v>
      </c>
      <c r="B4633" t="s">
        <v>368</v>
      </c>
      <c r="C4633">
        <v>126826</v>
      </c>
      <c r="D4633">
        <v>59</v>
      </c>
    </row>
    <row r="4634" spans="1:4" x14ac:dyDescent="0.25">
      <c r="A4634" t="str">
        <f>T("   721899")</f>
        <v xml:space="preserve">   721899</v>
      </c>
      <c r="B4634" t="str">
        <f>T("   Demi-produits en aciers inoxydables (autres que de section transversale rectangulaire)")</f>
        <v xml:space="preserve">   Demi-produits en aciers inoxydables (autres que de section transversale rectangulaire)</v>
      </c>
      <c r="C4634">
        <v>7844272</v>
      </c>
      <c r="D4634">
        <v>1297</v>
      </c>
    </row>
    <row r="4635" spans="1:4" x14ac:dyDescent="0.25">
      <c r="A4635" t="str">
        <f>T("   721921")</f>
        <v xml:space="preserve">   721921</v>
      </c>
      <c r="B4635" t="str">
        <f>T("   PRODUITS LAMINÉS PLATS, EN ACIERS INOXYDABLES, D'UNE LARGEUR &gt;= 600 MM, SIMPL. LAMINÉS À CHAUD, NON-ENROULÉS, D'UNE ÉPAISSEUR &gt; 10 MM")</f>
        <v xml:space="preserve">   PRODUITS LAMINÉS PLATS, EN ACIERS INOXYDABLES, D'UNE LARGEUR &gt;= 600 MM, SIMPL. LAMINÉS À CHAUD, NON-ENROULÉS, D'UNE ÉPAISSEUR &gt; 10 MM</v>
      </c>
      <c r="C4635">
        <v>23914333</v>
      </c>
      <c r="D4635">
        <v>10477</v>
      </c>
    </row>
    <row r="4636" spans="1:4" x14ac:dyDescent="0.25">
      <c r="A4636" t="str">
        <f>T("   721990")</f>
        <v xml:space="preserve">   721990</v>
      </c>
      <c r="B4636"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4636">
        <v>1088237</v>
      </c>
      <c r="D4636">
        <v>170</v>
      </c>
    </row>
    <row r="4637" spans="1:4" x14ac:dyDescent="0.25">
      <c r="A4637" t="str">
        <f>T("   722090")</f>
        <v xml:space="preserve">   722090</v>
      </c>
      <c r="B4637" t="str">
        <f>T("   Produits laminés plats, en aciers inoxydables, d'une largeur &lt; 600 mm, laminés à chaud ou à froid et ayant subi certaines ouvraisons plus poussées")</f>
        <v xml:space="preserve">   Produits laminés plats, en aciers inoxydables, d'une largeur &lt; 600 mm, laminés à chaud ou à froid et ayant subi certaines ouvraisons plus poussées</v>
      </c>
      <c r="C4637">
        <v>499498</v>
      </c>
      <c r="D4637">
        <v>24</v>
      </c>
    </row>
    <row r="4638" spans="1:4" x14ac:dyDescent="0.25">
      <c r="A4638" t="str">
        <f>T("   722599")</f>
        <v xml:space="preserve">   722599</v>
      </c>
      <c r="B4638" t="str">
        <f>T("   Produits laminés plats en aciers alliés autres qu'aciers inoxydables, d'une largeur &gt;= 600 mm, laminés à chaud ou à froid et autrement traités (sauf zingués et sauf aciers à coupe rapide ou aciers au silicium dits 'magnétiques')")</f>
        <v xml:space="preserve">   Produits laminés plats en aciers alliés autres qu'aciers inoxydables, d'une largeur &gt;= 600 mm, laminés à chaud ou à froid et autrement traités (sauf zingués et sauf aciers à coupe rapide ou aciers au silicium dits 'magnétiques')</v>
      </c>
      <c r="C4638">
        <v>2389007</v>
      </c>
      <c r="D4638">
        <v>1843</v>
      </c>
    </row>
    <row r="4639" spans="1:4" x14ac:dyDescent="0.25">
      <c r="A4639" t="str">
        <f>T("   722810")</f>
        <v xml:space="preserve">   722810</v>
      </c>
      <c r="B4639" t="str">
        <f>T("   Barres en aciers à coupe rapide")</f>
        <v xml:space="preserve">   Barres en aciers à coupe rapide</v>
      </c>
      <c r="C4639">
        <v>7863228</v>
      </c>
      <c r="D4639">
        <v>409</v>
      </c>
    </row>
    <row r="4640" spans="1:4" x14ac:dyDescent="0.25">
      <c r="A4640" t="str">
        <f>T("   722830")</f>
        <v xml:space="preserve">   722830</v>
      </c>
      <c r="B4640" t="str">
        <f>T("   BARRES EN ACIERS ALLIÉS AUTRES QU'ACIERS INOXYDABLES, SIMPL. LAMINÉES OU FILÉES À CHAUD (SAUF EN ACIERS À COUPE RAPIDE OU SILICOMANGANEUX)")</f>
        <v xml:space="preserve">   BARRES EN ACIERS ALLIÉS AUTRES QU'ACIERS INOXYDABLES, SIMPL. LAMINÉES OU FILÉES À CHAUD (SAUF EN ACIERS À COUPE RAPIDE OU SILICOMANGANEUX)</v>
      </c>
      <c r="C4640">
        <v>1585456</v>
      </c>
      <c r="D4640">
        <v>1601</v>
      </c>
    </row>
    <row r="4641" spans="1:4" x14ac:dyDescent="0.25">
      <c r="A4641" t="str">
        <f>T("   730210")</f>
        <v xml:space="preserve">   730210</v>
      </c>
      <c r="B4641" t="str">
        <f>T("   Rails en fonte, fer ou acier pour voies ferrées ( à l'excl. des contre-rails)")</f>
        <v xml:space="preserve">   Rails en fonte, fer ou acier pour voies ferrées ( à l'excl. des contre-rails)</v>
      </c>
      <c r="C4641">
        <v>286655</v>
      </c>
      <c r="D4641">
        <v>91</v>
      </c>
    </row>
    <row r="4642" spans="1:4" x14ac:dyDescent="0.25">
      <c r="A4642" t="str">
        <f>T("   730290")</f>
        <v xml:space="preserve">   730290</v>
      </c>
      <c r="B4642" t="s">
        <v>369</v>
      </c>
      <c r="C4642">
        <v>6397630</v>
      </c>
      <c r="D4642">
        <v>1268</v>
      </c>
    </row>
    <row r="4643" spans="1:4" x14ac:dyDescent="0.25">
      <c r="A4643" t="str">
        <f>T("   730300")</f>
        <v xml:space="preserve">   730300</v>
      </c>
      <c r="B4643" t="str">
        <f>T("   Tubes, tuyaux et profilés creux, en fonte")</f>
        <v xml:space="preserve">   Tubes, tuyaux et profilés creux, en fonte</v>
      </c>
      <c r="C4643">
        <v>4799115</v>
      </c>
      <c r="D4643">
        <v>5720</v>
      </c>
    </row>
    <row r="4644" spans="1:4" x14ac:dyDescent="0.25">
      <c r="A4644" t="str">
        <f>T("   730411")</f>
        <v xml:space="preserve">   730411</v>
      </c>
      <c r="B4644" t="str">
        <f>T("   TUBES ET TUYAUX SANS SOUDURE, EN ACIERS INOXYDABLES, DES TYPES UTILISÉS POUR OLÉODUCS OU GAZODUCS")</f>
        <v xml:space="preserve">   TUBES ET TUYAUX SANS SOUDURE, EN ACIERS INOXYDABLES, DES TYPES UTILISÉS POUR OLÉODUCS OU GAZODUCS</v>
      </c>
      <c r="C4644">
        <v>33255204</v>
      </c>
      <c r="D4644">
        <v>5373</v>
      </c>
    </row>
    <row r="4645" spans="1:4" x14ac:dyDescent="0.25">
      <c r="A4645" t="str">
        <f>T("   730429")</f>
        <v xml:space="preserve">   730429</v>
      </c>
      <c r="B4645"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4645">
        <v>29537992</v>
      </c>
      <c r="D4645">
        <v>5713</v>
      </c>
    </row>
    <row r="4646" spans="1:4" x14ac:dyDescent="0.25">
      <c r="A4646" t="str">
        <f>T("   730490")</f>
        <v xml:space="preserve">   730490</v>
      </c>
      <c r="B4646" t="str">
        <f>T("   Tubes, tuyaux et profilés creux, sans soudure, de section autre que circulaire, en fer (à l'excl. de la fonte) ou en acier")</f>
        <v xml:space="preserve">   Tubes, tuyaux et profilés creux, sans soudure, de section autre que circulaire, en fer (à l'excl. de la fonte) ou en acier</v>
      </c>
      <c r="C4646">
        <v>18173116</v>
      </c>
      <c r="D4646">
        <v>7821</v>
      </c>
    </row>
    <row r="4647" spans="1:4" x14ac:dyDescent="0.25">
      <c r="A4647" t="str">
        <f>T("   730590")</f>
        <v xml:space="preserve">   730590</v>
      </c>
      <c r="B4647"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4647">
        <v>196788</v>
      </c>
      <c r="D4647">
        <v>86</v>
      </c>
    </row>
    <row r="4648" spans="1:4" x14ac:dyDescent="0.25">
      <c r="A4648" t="str">
        <f>T("   730640")</f>
        <v xml:space="preserve">   730640</v>
      </c>
      <c r="B4648" t="s">
        <v>373</v>
      </c>
      <c r="C4648">
        <v>3355737</v>
      </c>
      <c r="D4648">
        <v>53</v>
      </c>
    </row>
    <row r="4649" spans="1:4" x14ac:dyDescent="0.25">
      <c r="A4649" t="str">
        <f>T("   730690")</f>
        <v xml:space="preserve">   730690</v>
      </c>
      <c r="B4649"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4649">
        <v>299118</v>
      </c>
      <c r="D4649">
        <v>18</v>
      </c>
    </row>
    <row r="4650" spans="1:4" x14ac:dyDescent="0.25">
      <c r="A4650" t="str">
        <f>T("   730711")</f>
        <v xml:space="preserve">   730711</v>
      </c>
      <c r="B4650" t="str">
        <f>T("   ACCESSOIRES DE TUYAUTERIE MOULÉS EN FONTE NON-MALLÉABLE")</f>
        <v xml:space="preserve">   ACCESSOIRES DE TUYAUTERIE MOULÉS EN FONTE NON-MALLÉABLE</v>
      </c>
      <c r="C4650">
        <v>91090118</v>
      </c>
      <c r="D4650">
        <v>44747</v>
      </c>
    </row>
    <row r="4651" spans="1:4" x14ac:dyDescent="0.25">
      <c r="A4651" t="str">
        <f>T("   730719")</f>
        <v xml:space="preserve">   730719</v>
      </c>
      <c r="B4651" t="str">
        <f>T("   Accessoires de tuyauterie moulés en fonte, fer ou acier (sauf fonte non-malléable)")</f>
        <v xml:space="preserve">   Accessoires de tuyauterie moulés en fonte, fer ou acier (sauf fonte non-malléable)</v>
      </c>
      <c r="C4651">
        <v>52024006</v>
      </c>
      <c r="D4651">
        <v>1490</v>
      </c>
    </row>
    <row r="4652" spans="1:4" x14ac:dyDescent="0.25">
      <c r="A4652" t="str">
        <f>T("   730721")</f>
        <v xml:space="preserve">   730721</v>
      </c>
      <c r="B4652" t="str">
        <f>T("   Brides en aciers inoxydables (non moulés)")</f>
        <v xml:space="preserve">   Brides en aciers inoxydables (non moulés)</v>
      </c>
      <c r="C4652">
        <v>17674842</v>
      </c>
      <c r="D4652">
        <v>4173</v>
      </c>
    </row>
    <row r="4653" spans="1:4" x14ac:dyDescent="0.25">
      <c r="A4653" t="str">
        <f>T("   730722")</f>
        <v xml:space="preserve">   730722</v>
      </c>
      <c r="B4653" t="str">
        <f>T("   COUDES, COURBES ET MANCHONS EN ACIERS INOXYDABLES, FILETÉS (NON-MOULÉS)")</f>
        <v xml:space="preserve">   COUDES, COURBES ET MANCHONS EN ACIERS INOXYDABLES, FILETÉS (NON-MOULÉS)</v>
      </c>
      <c r="C4653">
        <v>5587996</v>
      </c>
      <c r="D4653">
        <v>156</v>
      </c>
    </row>
    <row r="4654" spans="1:4" x14ac:dyDescent="0.25">
      <c r="A4654" t="str">
        <f>T("   730723")</f>
        <v xml:space="preserve">   730723</v>
      </c>
      <c r="B4654" t="str">
        <f>T("   ACCESSOIRES DE TUYAUTERIE EN ACIERS INOXYDABLES, À SOUDER BOUT À BOUT (NON-MOULÉS)")</f>
        <v xml:space="preserve">   ACCESSOIRES DE TUYAUTERIE EN ACIERS INOXYDABLES, À SOUDER BOUT À BOUT (NON-MOULÉS)</v>
      </c>
      <c r="C4654">
        <v>9144732</v>
      </c>
      <c r="D4654">
        <v>1188</v>
      </c>
    </row>
    <row r="4655" spans="1:4" x14ac:dyDescent="0.25">
      <c r="A4655" t="str">
        <f>T("   730729")</f>
        <v xml:space="preserve">   730729</v>
      </c>
      <c r="B4655"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4655">
        <v>175797</v>
      </c>
      <c r="D4655">
        <v>1</v>
      </c>
    </row>
    <row r="4656" spans="1:4" x14ac:dyDescent="0.25">
      <c r="A4656" t="str">
        <f>T("   730792")</f>
        <v xml:space="preserve">   730792</v>
      </c>
      <c r="B4656" t="str">
        <f>T("   Coudes, courbes et manchons en fer ou en aciers, filetés (autres que moulés ou en aciers inoxydables)")</f>
        <v xml:space="preserve">   Coudes, courbes et manchons en fer ou en aciers, filetés (autres que moulés ou en aciers inoxydables)</v>
      </c>
      <c r="C4656">
        <v>463145</v>
      </c>
      <c r="D4656">
        <v>21</v>
      </c>
    </row>
    <row r="4657" spans="1:4" x14ac:dyDescent="0.25">
      <c r="A4657" t="str">
        <f>T("   730799")</f>
        <v xml:space="preserve">   730799</v>
      </c>
      <c r="B4657"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4657">
        <v>17051063</v>
      </c>
      <c r="D4657">
        <v>3681</v>
      </c>
    </row>
    <row r="4658" spans="1:4" x14ac:dyDescent="0.25">
      <c r="A4658" t="str">
        <f>T("   730820")</f>
        <v xml:space="preserve">   730820</v>
      </c>
      <c r="B4658" t="str">
        <f>T("   Tours et pylônes, en fer ou en acier")</f>
        <v xml:space="preserve">   Tours et pylônes, en fer ou en acier</v>
      </c>
      <c r="C4658">
        <v>312022880</v>
      </c>
      <c r="D4658">
        <v>58053</v>
      </c>
    </row>
    <row r="4659" spans="1:4" x14ac:dyDescent="0.25">
      <c r="A4659" t="str">
        <f>T("   730830")</f>
        <v xml:space="preserve">   730830</v>
      </c>
      <c r="B4659" t="str">
        <f>T("   Portes, fenêtres et leurs cadres et chambranles ainsi que leurs seuils, en fer ou en acier")</f>
        <v xml:space="preserve">   Portes, fenêtres et leurs cadres et chambranles ainsi que leurs seuils, en fer ou en acier</v>
      </c>
      <c r="C4659">
        <v>17961068</v>
      </c>
      <c r="D4659">
        <v>9806</v>
      </c>
    </row>
    <row r="4660" spans="1:4" x14ac:dyDescent="0.25">
      <c r="A4660" t="str">
        <f>T("   730840")</f>
        <v xml:space="preserve">   730840</v>
      </c>
      <c r="B4660"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4660">
        <v>10885222</v>
      </c>
      <c r="D4660">
        <v>2924</v>
      </c>
    </row>
    <row r="4661" spans="1:4" x14ac:dyDescent="0.25">
      <c r="A4661" t="str">
        <f>T("   730890")</f>
        <v xml:space="preserve">   730890</v>
      </c>
      <c r="B4661" t="s">
        <v>376</v>
      </c>
      <c r="C4661">
        <v>65193206</v>
      </c>
      <c r="D4661">
        <v>81701</v>
      </c>
    </row>
    <row r="4662" spans="1:4" x14ac:dyDescent="0.25">
      <c r="A4662" t="str">
        <f>T("   730900")</f>
        <v xml:space="preserve">   730900</v>
      </c>
      <c r="B4662" t="s">
        <v>377</v>
      </c>
      <c r="C4662">
        <v>12947575</v>
      </c>
      <c r="D4662">
        <v>2148</v>
      </c>
    </row>
    <row r="4663" spans="1:4" x14ac:dyDescent="0.25">
      <c r="A4663" t="str">
        <f>T("   731010")</f>
        <v xml:space="preserve">   731010</v>
      </c>
      <c r="B4663"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4663">
        <v>5690453</v>
      </c>
      <c r="D4663">
        <v>818</v>
      </c>
    </row>
    <row r="4664" spans="1:4" x14ac:dyDescent="0.25">
      <c r="A4664" t="str">
        <f>T("   731029")</f>
        <v xml:space="preserve">   731029</v>
      </c>
      <c r="B4664"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4664">
        <v>61578439</v>
      </c>
      <c r="D4664">
        <v>22403</v>
      </c>
    </row>
    <row r="4665" spans="1:4" x14ac:dyDescent="0.25">
      <c r="A4665" t="str">
        <f>T("   731100")</f>
        <v xml:space="preserve">   731100</v>
      </c>
      <c r="B466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4665">
        <v>83331000</v>
      </c>
      <c r="D4665">
        <v>27322</v>
      </c>
    </row>
    <row r="4666" spans="1:4" x14ac:dyDescent="0.25">
      <c r="A4666" t="str">
        <f>T("   731210")</f>
        <v xml:space="preserve">   731210</v>
      </c>
      <c r="B4666"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4666">
        <v>52758691</v>
      </c>
      <c r="D4666">
        <v>5998</v>
      </c>
    </row>
    <row r="4667" spans="1:4" x14ac:dyDescent="0.25">
      <c r="A4667" t="str">
        <f>T("   731290")</f>
        <v xml:space="preserve">   731290</v>
      </c>
      <c r="B4667" t="str">
        <f>T("   Tresses, élingues et simil., en fer ou en acier (sauf produits isolés pour l'électricité)")</f>
        <v xml:space="preserve">   Tresses, élingues et simil., en fer ou en acier (sauf produits isolés pour l'électricité)</v>
      </c>
      <c r="C4667">
        <v>125708255</v>
      </c>
      <c r="D4667">
        <v>27210</v>
      </c>
    </row>
    <row r="4668" spans="1:4" x14ac:dyDescent="0.25">
      <c r="A4668" t="str">
        <f>T("   731300")</f>
        <v xml:space="preserve">   731300</v>
      </c>
      <c r="B4668"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4668">
        <v>30744169</v>
      </c>
      <c r="D4668">
        <v>12836</v>
      </c>
    </row>
    <row r="4669" spans="1:4" x14ac:dyDescent="0.25">
      <c r="A4669" t="str">
        <f>T("   731419")</f>
        <v xml:space="preserve">   731419</v>
      </c>
      <c r="B4669" t="s">
        <v>378</v>
      </c>
      <c r="C4669">
        <v>24569093</v>
      </c>
      <c r="D4669">
        <v>7780</v>
      </c>
    </row>
    <row r="4670" spans="1:4" x14ac:dyDescent="0.25">
      <c r="A4670" t="str">
        <f>T("   731420")</f>
        <v xml:space="preserve">   731420</v>
      </c>
      <c r="B4670"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4670">
        <v>15390133</v>
      </c>
      <c r="D4670">
        <v>4812</v>
      </c>
    </row>
    <row r="4671" spans="1:4" x14ac:dyDescent="0.25">
      <c r="A4671" t="str">
        <f>T("   731431")</f>
        <v xml:space="preserve">   731431</v>
      </c>
      <c r="B4671" t="str">
        <f>T("   Grillages et treillis, en fils de fer ou d'acier, soudés aux points de rencontre, zingués (sauf en fils dont la plus grande dimension de la coupe transversale est &gt;= 3 mm avec une surface de mailles &gt;= 100 cm²)")</f>
        <v xml:space="preserve">   Grillages et treillis, en fils de fer ou d'acier, soudés aux points de rencontre, zingués (sauf en fils dont la plus grande dimension de la coupe transversale est &gt;= 3 mm avec une surface de mailles &gt;= 100 cm²)</v>
      </c>
      <c r="C4671">
        <v>474259</v>
      </c>
      <c r="D4671">
        <v>33</v>
      </c>
    </row>
    <row r="4672" spans="1:4" x14ac:dyDescent="0.25">
      <c r="A4672" t="str">
        <f>T("   731439")</f>
        <v xml:space="preserve">   731439</v>
      </c>
      <c r="B4672"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4672">
        <v>20087463</v>
      </c>
      <c r="D4672">
        <v>19276</v>
      </c>
    </row>
    <row r="4673" spans="1:4" x14ac:dyDescent="0.25">
      <c r="A4673" t="str">
        <f>T("   731449")</f>
        <v xml:space="preserve">   731449</v>
      </c>
      <c r="B4673"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4673">
        <v>31949111</v>
      </c>
      <c r="D4673">
        <v>28671</v>
      </c>
    </row>
    <row r="4674" spans="1:4" x14ac:dyDescent="0.25">
      <c r="A4674" t="str">
        <f>T("   731450")</f>
        <v xml:space="preserve">   731450</v>
      </c>
      <c r="B4674" t="str">
        <f>T("   Tôles et bandes déployées en fer ou en acier")</f>
        <v xml:space="preserve">   Tôles et bandes déployées en fer ou en acier</v>
      </c>
      <c r="C4674">
        <v>10806942</v>
      </c>
      <c r="D4674">
        <v>4389</v>
      </c>
    </row>
    <row r="4675" spans="1:4" x14ac:dyDescent="0.25">
      <c r="A4675" t="str">
        <f>T("   731511")</f>
        <v xml:space="preserve">   731511</v>
      </c>
      <c r="B4675" t="str">
        <f>T("   Chaînes à rouleaux en fonte, fer ou acier")</f>
        <v xml:space="preserve">   Chaînes à rouleaux en fonte, fer ou acier</v>
      </c>
      <c r="C4675">
        <v>3770767</v>
      </c>
      <c r="D4675">
        <v>416</v>
      </c>
    </row>
    <row r="4676" spans="1:4" x14ac:dyDescent="0.25">
      <c r="A4676" t="str">
        <f>T("   731512")</f>
        <v xml:space="preserve">   731512</v>
      </c>
      <c r="B4676" t="str">
        <f>T("   Chaînes à maillons articulés en fonte, fer ou acier (autres qu'à rouleaux)")</f>
        <v xml:space="preserve">   Chaînes à maillons articulés en fonte, fer ou acier (autres qu'à rouleaux)</v>
      </c>
      <c r="C4676">
        <v>19359938</v>
      </c>
      <c r="D4676">
        <v>2656</v>
      </c>
    </row>
    <row r="4677" spans="1:4" x14ac:dyDescent="0.25">
      <c r="A4677" t="str">
        <f>T("   731589")</f>
        <v xml:space="preserve">   731589</v>
      </c>
      <c r="B4677" t="s">
        <v>379</v>
      </c>
      <c r="C4677">
        <v>18795971</v>
      </c>
      <c r="D4677">
        <v>7967</v>
      </c>
    </row>
    <row r="4678" spans="1:4" x14ac:dyDescent="0.25">
      <c r="A4678" t="str">
        <f>T("   731590")</f>
        <v xml:space="preserve">   731590</v>
      </c>
      <c r="B4678"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4678">
        <v>2250487</v>
      </c>
      <c r="D4678">
        <v>206</v>
      </c>
    </row>
    <row r="4679" spans="1:4" x14ac:dyDescent="0.25">
      <c r="A4679" t="str">
        <f>T("   731700")</f>
        <v xml:space="preserve">   731700</v>
      </c>
      <c r="B467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4679">
        <v>3100886</v>
      </c>
      <c r="D4679">
        <v>920</v>
      </c>
    </row>
    <row r="4680" spans="1:4" x14ac:dyDescent="0.25">
      <c r="A4680" t="str">
        <f>T("   731812")</f>
        <v xml:space="preserve">   731812</v>
      </c>
      <c r="B4680" t="str">
        <f>T("   Vis à bois en fonte, fer ou acier (autres que tire-fond)")</f>
        <v xml:space="preserve">   Vis à bois en fonte, fer ou acier (autres que tire-fond)</v>
      </c>
      <c r="C4680">
        <v>1432656</v>
      </c>
      <c r="D4680">
        <v>1835</v>
      </c>
    </row>
    <row r="4681" spans="1:4" x14ac:dyDescent="0.25">
      <c r="A4681" t="str">
        <f>T("   731813")</f>
        <v xml:space="preserve">   731813</v>
      </c>
      <c r="B4681" t="str">
        <f>T("   Crochets et pitons à pas de vis en fonte, fer ou acier")</f>
        <v xml:space="preserve">   Crochets et pitons à pas de vis en fonte, fer ou acier</v>
      </c>
      <c r="C4681">
        <v>755600</v>
      </c>
      <c r="D4681">
        <v>116</v>
      </c>
    </row>
    <row r="4682" spans="1:4" x14ac:dyDescent="0.25">
      <c r="A4682" t="str">
        <f>T("   731814")</f>
        <v xml:space="preserve">   731814</v>
      </c>
      <c r="B4682" t="str">
        <f>T("   Vis autotaraudeuses en fonte, fer ou acier (autres que vis à bois)")</f>
        <v xml:space="preserve">   Vis autotaraudeuses en fonte, fer ou acier (autres que vis à bois)</v>
      </c>
      <c r="C4682">
        <v>244673</v>
      </c>
      <c r="D4682">
        <v>981</v>
      </c>
    </row>
    <row r="4683" spans="1:4" x14ac:dyDescent="0.25">
      <c r="A4683" t="str">
        <f>T("   731815")</f>
        <v xml:space="preserve">   731815</v>
      </c>
      <c r="B4683" t="s">
        <v>380</v>
      </c>
      <c r="C4683">
        <v>58933150</v>
      </c>
      <c r="D4683">
        <v>19323.02</v>
      </c>
    </row>
    <row r="4684" spans="1:4" x14ac:dyDescent="0.25">
      <c r="A4684" t="str">
        <f>T("   731816")</f>
        <v xml:space="preserve">   731816</v>
      </c>
      <c r="B4684" t="str">
        <f>T("   ÉCROUS EN FONTE, FER OU ACIER")</f>
        <v xml:space="preserve">   ÉCROUS EN FONTE, FER OU ACIER</v>
      </c>
      <c r="C4684">
        <v>6371324</v>
      </c>
      <c r="D4684">
        <v>1164.25</v>
      </c>
    </row>
    <row r="4685" spans="1:4" x14ac:dyDescent="0.25">
      <c r="A4685" t="str">
        <f>T("   731819")</f>
        <v xml:space="preserve">   731819</v>
      </c>
      <c r="B4685" t="str">
        <f>T("   Articles de boulonnerie et de visserie, filetés, en fonte, fer ou acier, n.d.a.")</f>
        <v xml:space="preserve">   Articles de boulonnerie et de visserie, filetés, en fonte, fer ou acier, n.d.a.</v>
      </c>
      <c r="C4685">
        <v>14513801</v>
      </c>
      <c r="D4685">
        <v>4526</v>
      </c>
    </row>
    <row r="4686" spans="1:4" x14ac:dyDescent="0.25">
      <c r="A4686" t="str">
        <f>T("   731821")</f>
        <v xml:space="preserve">   731821</v>
      </c>
      <c r="B4686" t="str">
        <f>T("   Rondelles destinées à faire ressort et autres rondelles de blocage, en fonte, fer ou acier")</f>
        <v xml:space="preserve">   Rondelles destinées à faire ressort et autres rondelles de blocage, en fonte, fer ou acier</v>
      </c>
      <c r="C4686">
        <v>1436323</v>
      </c>
      <c r="D4686">
        <v>110</v>
      </c>
    </row>
    <row r="4687" spans="1:4" x14ac:dyDescent="0.25">
      <c r="A4687" t="str">
        <f>T("   731822")</f>
        <v xml:space="preserve">   731822</v>
      </c>
      <c r="B4687" t="str">
        <f>T("   Rondelles en fonte, fer ou acier (sauf rondelles destinées à faire ressort et autres rondelles de blocage)")</f>
        <v xml:space="preserve">   Rondelles en fonte, fer ou acier (sauf rondelles destinées à faire ressort et autres rondelles de blocage)</v>
      </c>
      <c r="C4687">
        <v>3700218</v>
      </c>
      <c r="D4687">
        <v>478</v>
      </c>
    </row>
    <row r="4688" spans="1:4" x14ac:dyDescent="0.25">
      <c r="A4688" t="str">
        <f>T("   731823")</f>
        <v xml:space="preserve">   731823</v>
      </c>
      <c r="B4688"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4688">
        <v>139346</v>
      </c>
      <c r="D4688">
        <v>5</v>
      </c>
    </row>
    <row r="4689" spans="1:4" x14ac:dyDescent="0.25">
      <c r="A4689" t="str">
        <f>T("   731824")</f>
        <v xml:space="preserve">   731824</v>
      </c>
      <c r="B4689" t="str">
        <f>T("   Goupilles, chevilles et clavettes en fonte, fer ou acier")</f>
        <v xml:space="preserve">   Goupilles, chevilles et clavettes en fonte, fer ou acier</v>
      </c>
      <c r="C4689">
        <v>2730708</v>
      </c>
      <c r="D4689">
        <v>194</v>
      </c>
    </row>
    <row r="4690" spans="1:4" x14ac:dyDescent="0.25">
      <c r="A4690" t="str">
        <f>T("   731829")</f>
        <v xml:space="preserve">   731829</v>
      </c>
      <c r="B4690" t="str">
        <f>T("   Articles de boulonnerie et de visserie non filetés, en fonte, fer ou acier, n.d.a.")</f>
        <v xml:space="preserve">   Articles de boulonnerie et de visserie non filetés, en fonte, fer ou acier, n.d.a.</v>
      </c>
      <c r="C4690">
        <v>5555331</v>
      </c>
      <c r="D4690">
        <v>261</v>
      </c>
    </row>
    <row r="4691" spans="1:4" x14ac:dyDescent="0.25">
      <c r="A4691" t="str">
        <f>T("   732010")</f>
        <v xml:space="preserve">   732010</v>
      </c>
      <c r="B4691"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4691">
        <v>715290</v>
      </c>
      <c r="D4691">
        <v>39.9</v>
      </c>
    </row>
    <row r="4692" spans="1:4" x14ac:dyDescent="0.25">
      <c r="A4692" t="str">
        <f>T("   732020")</f>
        <v xml:space="preserve">   732020</v>
      </c>
      <c r="B4692" t="str">
        <f>T("   RESSORTS EN HÉLICE EN FER OU EN ACIER (À L'EXCL. DES RESSORTS SPIRAUX PLATS, RESSORTS DE MONTRES, RESSORTS POUR CANNES ET MANCHES DE PARAPLUIES ET DE PARASOLS ET SAUF RESSORTS-AMORTISSEURS DE LA SECTION 17)")</f>
        <v xml:space="preserve">   RESSORTS EN HÉLICE EN FER OU EN ACIER (À L'EXCL. DES RESSORTS SPIRAUX PLATS, RESSORTS DE MONTRES, RESSORTS POUR CANNES ET MANCHES DE PARAPLUIES ET DE PARASOLS ET SAUF RESSORTS-AMORTISSEURS DE LA SECTION 17)</v>
      </c>
      <c r="C4692">
        <v>431655</v>
      </c>
      <c r="D4692">
        <v>19</v>
      </c>
    </row>
    <row r="4693" spans="1:4" x14ac:dyDescent="0.25">
      <c r="A4693" t="str">
        <f>T("   732090")</f>
        <v xml:space="preserve">   732090</v>
      </c>
      <c r="B4693" t="s">
        <v>381</v>
      </c>
      <c r="C4693">
        <v>10180932</v>
      </c>
      <c r="D4693">
        <v>9246.4</v>
      </c>
    </row>
    <row r="4694" spans="1:4" x14ac:dyDescent="0.25">
      <c r="A4694" t="str">
        <f>T("   732111")</f>
        <v xml:space="preserve">   732111</v>
      </c>
      <c r="B4694" t="s">
        <v>382</v>
      </c>
      <c r="C4694">
        <v>12456457</v>
      </c>
      <c r="D4694">
        <v>3975</v>
      </c>
    </row>
    <row r="4695" spans="1:4" x14ac:dyDescent="0.25">
      <c r="A4695" t="str">
        <f>T("   732190")</f>
        <v xml:space="preserve">   732190</v>
      </c>
      <c r="B4695" t="str">
        <f>T("   Parties des appareils ménagers chauffants non-électriques du n° 7321, n.d.a.")</f>
        <v xml:space="preserve">   Parties des appareils ménagers chauffants non-électriques du n° 7321, n.d.a.</v>
      </c>
      <c r="C4695">
        <v>627104</v>
      </c>
      <c r="D4695">
        <v>281</v>
      </c>
    </row>
    <row r="4696" spans="1:4" x14ac:dyDescent="0.25">
      <c r="A4696" t="str">
        <f>T("   732290")</f>
        <v xml:space="preserve">   732290</v>
      </c>
      <c r="B4696" t="s">
        <v>385</v>
      </c>
      <c r="C4696">
        <v>295044</v>
      </c>
      <c r="D4696">
        <v>1</v>
      </c>
    </row>
    <row r="4697" spans="1:4" x14ac:dyDescent="0.25">
      <c r="A4697" t="str">
        <f>T("   732310")</f>
        <v xml:space="preserve">   732310</v>
      </c>
      <c r="B4697"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4697">
        <v>86587</v>
      </c>
      <c r="D4697">
        <v>36</v>
      </c>
    </row>
    <row r="4698" spans="1:4" x14ac:dyDescent="0.25">
      <c r="A4698" t="str">
        <f>T("   732391")</f>
        <v xml:space="preserve">   732391</v>
      </c>
      <c r="B4698" t="s">
        <v>386</v>
      </c>
      <c r="C4698">
        <v>1227301</v>
      </c>
      <c r="D4698">
        <v>455</v>
      </c>
    </row>
    <row r="4699" spans="1:4" x14ac:dyDescent="0.25">
      <c r="A4699" t="str">
        <f>T("   732393")</f>
        <v xml:space="preserve">   732393</v>
      </c>
      <c r="B4699" t="s">
        <v>388</v>
      </c>
      <c r="C4699">
        <v>39394240</v>
      </c>
      <c r="D4699">
        <v>26618</v>
      </c>
    </row>
    <row r="4700" spans="1:4" x14ac:dyDescent="0.25">
      <c r="A4700" t="str">
        <f>T("   732394")</f>
        <v xml:space="preserve">   732394</v>
      </c>
      <c r="B4700" t="s">
        <v>389</v>
      </c>
      <c r="C4700">
        <v>18939367</v>
      </c>
      <c r="D4700">
        <v>15002</v>
      </c>
    </row>
    <row r="4701" spans="1:4" x14ac:dyDescent="0.25">
      <c r="A4701" t="str">
        <f>T("   732399")</f>
        <v xml:space="preserve">   732399</v>
      </c>
      <c r="B4701" t="s">
        <v>390</v>
      </c>
      <c r="C4701">
        <v>65699738</v>
      </c>
      <c r="D4701">
        <v>77645</v>
      </c>
    </row>
    <row r="4702" spans="1:4" x14ac:dyDescent="0.25">
      <c r="A4702" t="str">
        <f>T("   732410")</f>
        <v xml:space="preserve">   732410</v>
      </c>
      <c r="B4702" t="str">
        <f>T("   ÉVIERS ET LAVABOS EN ACIER INOXYDABLE")</f>
        <v xml:space="preserve">   ÉVIERS ET LAVABOS EN ACIER INOXYDABLE</v>
      </c>
      <c r="C4702">
        <v>182357</v>
      </c>
      <c r="D4702">
        <v>238</v>
      </c>
    </row>
    <row r="4703" spans="1:4" x14ac:dyDescent="0.25">
      <c r="A4703" t="str">
        <f>T("   732490")</f>
        <v xml:space="preserve">   732490</v>
      </c>
      <c r="B4703" t="s">
        <v>391</v>
      </c>
      <c r="C4703">
        <v>4886160</v>
      </c>
      <c r="D4703">
        <v>3327</v>
      </c>
    </row>
    <row r="4704" spans="1:4" x14ac:dyDescent="0.25">
      <c r="A4704" t="str">
        <f>T("   732510")</f>
        <v xml:space="preserve">   732510</v>
      </c>
      <c r="B4704" t="str">
        <f>T("   OUVRAGES EN FER OU EN ACIER, EN FONTE NON-MALLÉABLE, MOULÉS, N.D.A.")</f>
        <v xml:space="preserve">   OUVRAGES EN FER OU EN ACIER, EN FONTE NON-MALLÉABLE, MOULÉS, N.D.A.</v>
      </c>
      <c r="C4704">
        <v>6936776</v>
      </c>
      <c r="D4704">
        <v>2589</v>
      </c>
    </row>
    <row r="4705" spans="1:4" x14ac:dyDescent="0.25">
      <c r="A4705" t="str">
        <f>T("   732599")</f>
        <v xml:space="preserve">   732599</v>
      </c>
      <c r="B4705"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4705">
        <v>25579816</v>
      </c>
      <c r="D4705">
        <v>9004</v>
      </c>
    </row>
    <row r="4706" spans="1:4" x14ac:dyDescent="0.25">
      <c r="A4706" t="str">
        <f>T("   732611")</f>
        <v xml:space="preserve">   732611</v>
      </c>
      <c r="B4706" t="str">
        <f>T("   Boulets et simil. pour broyeurs, en fer ou en acier, forgés ou estampés mais non autrement travaillés")</f>
        <v xml:space="preserve">   Boulets et simil. pour broyeurs, en fer ou en acier, forgés ou estampés mais non autrement travaillés</v>
      </c>
      <c r="C4706">
        <v>1745536</v>
      </c>
      <c r="D4706">
        <v>250</v>
      </c>
    </row>
    <row r="4707" spans="1:4" x14ac:dyDescent="0.25">
      <c r="A4707" t="str">
        <f>T("   732619")</f>
        <v xml:space="preserve">   732619</v>
      </c>
      <c r="B4707"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4707">
        <v>3244308</v>
      </c>
      <c r="D4707">
        <v>368</v>
      </c>
    </row>
    <row r="4708" spans="1:4" x14ac:dyDescent="0.25">
      <c r="A4708" t="str">
        <f>T("   732620")</f>
        <v xml:space="preserve">   732620</v>
      </c>
      <c r="B4708" t="str">
        <f>T("   Ouvrages en fil de fer ou d'acier, n.d.a.")</f>
        <v xml:space="preserve">   Ouvrages en fil de fer ou d'acier, n.d.a.</v>
      </c>
      <c r="C4708">
        <v>42265585</v>
      </c>
      <c r="D4708">
        <v>54024</v>
      </c>
    </row>
    <row r="4709" spans="1:4" x14ac:dyDescent="0.25">
      <c r="A4709" t="str">
        <f>T("   732690")</f>
        <v xml:space="preserve">   732690</v>
      </c>
      <c r="B470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709">
        <v>1373797682</v>
      </c>
      <c r="D4709">
        <v>683598</v>
      </c>
    </row>
    <row r="4710" spans="1:4" x14ac:dyDescent="0.25">
      <c r="A4710" t="str">
        <f>T("   740322")</f>
        <v xml:space="preserve">   740322</v>
      </c>
      <c r="B4710" t="str">
        <f>T("   Alliage à base de cuivre-étain -bronze- sous forme brute")</f>
        <v xml:space="preserve">   Alliage à base de cuivre-étain -bronze- sous forme brute</v>
      </c>
      <c r="C4710">
        <v>3233581</v>
      </c>
      <c r="D4710">
        <v>1298</v>
      </c>
    </row>
    <row r="4711" spans="1:4" x14ac:dyDescent="0.25">
      <c r="A4711" t="str">
        <f>T("   740721")</f>
        <v xml:space="preserve">   740721</v>
      </c>
      <c r="B4711" t="str">
        <f>T("   Barres et profilés en alliages à base de cuivre-zinc -laiton-, n.d.a.")</f>
        <v xml:space="preserve">   Barres et profilés en alliages à base de cuivre-zinc -laiton-, n.d.a.</v>
      </c>
      <c r="C4711">
        <v>1361602</v>
      </c>
      <c r="D4711">
        <v>158</v>
      </c>
    </row>
    <row r="4712" spans="1:4" x14ac:dyDescent="0.25">
      <c r="A4712" t="str">
        <f>T("   740729")</f>
        <v xml:space="preserve">   740729</v>
      </c>
      <c r="B4712" t="str">
        <f>T("   BARRES ET PROFILÉS EN ALLIAGES DE CUIVRE, N.D.A. (SAUF EN ALLIAGES À BASE DE CUIVRE-ZINC -LAITON-)")</f>
        <v xml:space="preserve">   BARRES ET PROFILÉS EN ALLIAGES DE CUIVRE, N.D.A. (SAUF EN ALLIAGES À BASE DE CUIVRE-ZINC -LAITON-)</v>
      </c>
      <c r="C4712">
        <v>6061059</v>
      </c>
      <c r="D4712">
        <v>652</v>
      </c>
    </row>
    <row r="4713" spans="1:4" x14ac:dyDescent="0.25">
      <c r="A4713" t="str">
        <f>T("   741129")</f>
        <v xml:space="preserve">   741129</v>
      </c>
      <c r="B4713" t="str">
        <f>T("   Tubes et tuyaux en alliages de cuivre (sauf en alliages à base de cuivre-zinc -laiton-, de cuivre-nickel -cupronickel-, ou de cuivre-nickel-zinc -maillechort-)")</f>
        <v xml:space="preserve">   Tubes et tuyaux en alliages de cuivre (sauf en alliages à base de cuivre-zinc -laiton-, de cuivre-nickel -cupronickel-, ou de cuivre-nickel-zinc -maillechort-)</v>
      </c>
      <c r="C4713">
        <v>9383193</v>
      </c>
      <c r="D4713">
        <v>2881</v>
      </c>
    </row>
    <row r="4714" spans="1:4" x14ac:dyDescent="0.25">
      <c r="A4714" t="str">
        <f>T("   741220")</f>
        <v xml:space="preserve">   741220</v>
      </c>
      <c r="B4714" t="str">
        <f>T("   Accessoires de tuyauterie -raccords, coudes, manchons, par exemple-, en alliages de cuivre")</f>
        <v xml:space="preserve">   Accessoires de tuyauterie -raccords, coudes, manchons, par exemple-, en alliages de cuivre</v>
      </c>
      <c r="C4714">
        <v>331916</v>
      </c>
      <c r="D4714">
        <v>55</v>
      </c>
    </row>
    <row r="4715" spans="1:4" x14ac:dyDescent="0.25">
      <c r="A4715" t="str">
        <f>T("   741300")</f>
        <v xml:space="preserve">   741300</v>
      </c>
      <c r="B4715" t="str">
        <f>T("   Torons, câbles, tresses et articles simil., en cuivre (sauf produits isolés pour l'électricité)")</f>
        <v xml:space="preserve">   Torons, câbles, tresses et articles simil., en cuivre (sauf produits isolés pour l'électricité)</v>
      </c>
      <c r="C4715">
        <v>32168214</v>
      </c>
      <c r="D4715">
        <v>35983</v>
      </c>
    </row>
    <row r="4716" spans="1:4" x14ac:dyDescent="0.25">
      <c r="A4716" t="str">
        <f>T("   741533")</f>
        <v xml:space="preserve">   741533</v>
      </c>
      <c r="B4716" t="str">
        <f>T("   Vis, boulons, écrous et articles simil., filetés, en cuivre (à l'excl. des crochets et pitons à pas de vis, des tire-fond, des bouchons métalliques, bondes et articles simil., filetés)")</f>
        <v xml:space="preserve">   Vis, boulons, écrous et articles simil., filetés, en cuivre (à l'excl. des crochets et pitons à pas de vis, des tire-fond, des bouchons métalliques, bondes et articles simil., filetés)</v>
      </c>
      <c r="C4716">
        <v>34766</v>
      </c>
      <c r="D4716">
        <v>2</v>
      </c>
    </row>
    <row r="4717" spans="1:4" x14ac:dyDescent="0.25">
      <c r="A4717" t="str">
        <f>T("   741999")</f>
        <v xml:space="preserve">   741999</v>
      </c>
      <c r="B4717" t="str">
        <f>T("   Ouvrages en cuivre, n.d.a.")</f>
        <v xml:space="preserve">   Ouvrages en cuivre, n.d.a.</v>
      </c>
      <c r="C4717">
        <v>71600497</v>
      </c>
      <c r="D4717">
        <v>8518</v>
      </c>
    </row>
    <row r="4718" spans="1:4" x14ac:dyDescent="0.25">
      <c r="A4718" t="str">
        <f>T("   760421")</f>
        <v xml:space="preserve">   760421</v>
      </c>
      <c r="B4718" t="str">
        <f>T("   Profilés creux en alliages d'aluminium, n.d.a.")</f>
        <v xml:space="preserve">   Profilés creux en alliages d'aluminium, n.d.a.</v>
      </c>
      <c r="C4718">
        <v>1782899</v>
      </c>
      <c r="D4718">
        <v>255</v>
      </c>
    </row>
    <row r="4719" spans="1:4" x14ac:dyDescent="0.25">
      <c r="A4719" t="str">
        <f>T("   760429")</f>
        <v xml:space="preserve">   760429</v>
      </c>
      <c r="B4719" t="str">
        <f>T("   Barres et profilés pleins en alliages d'aluminium, n.d.a.")</f>
        <v xml:space="preserve">   Barres et profilés pleins en alliages d'aluminium, n.d.a.</v>
      </c>
      <c r="C4719">
        <v>3870000</v>
      </c>
      <c r="D4719">
        <v>3310</v>
      </c>
    </row>
    <row r="4720" spans="1:4" x14ac:dyDescent="0.25">
      <c r="A4720" t="str">
        <f>T("   760719")</f>
        <v xml:space="preserve">   760719</v>
      </c>
      <c r="B4720"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4720">
        <v>37666468</v>
      </c>
      <c r="D4720">
        <v>5366</v>
      </c>
    </row>
    <row r="4721" spans="1:4" x14ac:dyDescent="0.25">
      <c r="A4721" t="str">
        <f>T("   760810")</f>
        <v xml:space="preserve">   760810</v>
      </c>
      <c r="B4721" t="str">
        <f>T("   Tubes et tuyaux en aluminium non allié (sauf profilés creux)")</f>
        <v xml:space="preserve">   Tubes et tuyaux en aluminium non allié (sauf profilés creux)</v>
      </c>
      <c r="C4721">
        <v>203085</v>
      </c>
      <c r="D4721">
        <v>60</v>
      </c>
    </row>
    <row r="4722" spans="1:4" x14ac:dyDescent="0.25">
      <c r="A4722" t="str">
        <f>T("   760820")</f>
        <v xml:space="preserve">   760820</v>
      </c>
      <c r="B4722" t="str">
        <f>T("   Tubes et tuyaux en alliages d'aluminium (sauf profilés creux)")</f>
        <v xml:space="preserve">   Tubes et tuyaux en alliages d'aluminium (sauf profilés creux)</v>
      </c>
      <c r="C4722">
        <v>5275499</v>
      </c>
      <c r="D4722">
        <v>206</v>
      </c>
    </row>
    <row r="4723" spans="1:4" x14ac:dyDescent="0.25">
      <c r="A4723" t="str">
        <f>T("   760900")</f>
        <v xml:space="preserve">   760900</v>
      </c>
      <c r="B4723" t="str">
        <f>T("   Accessoires de tuyauterie, p.ex. raccords, coudes, manchons, en aluminium")</f>
        <v xml:space="preserve">   Accessoires de tuyauterie, p.ex. raccords, coudes, manchons, en aluminium</v>
      </c>
      <c r="C4723">
        <v>3212892</v>
      </c>
      <c r="D4723">
        <v>63</v>
      </c>
    </row>
    <row r="4724" spans="1:4" x14ac:dyDescent="0.25">
      <c r="A4724" t="str">
        <f>T("   761010")</f>
        <v xml:space="preserve">   761010</v>
      </c>
      <c r="B4724" t="str">
        <f>T("   Portes, fenêtres et leurs cadres, chambranles et seuils, en aluminium (sauf pièces de garnissage)")</f>
        <v xml:space="preserve">   Portes, fenêtres et leurs cadres, chambranles et seuils, en aluminium (sauf pièces de garnissage)</v>
      </c>
      <c r="C4724">
        <v>4847409</v>
      </c>
      <c r="D4724">
        <v>1189</v>
      </c>
    </row>
    <row r="4725" spans="1:4" x14ac:dyDescent="0.25">
      <c r="A4725" t="str">
        <f>T("   761090")</f>
        <v xml:space="preserve">   761090</v>
      </c>
      <c r="B472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4725">
        <v>11409243</v>
      </c>
      <c r="D4725">
        <v>6646</v>
      </c>
    </row>
    <row r="4726" spans="1:4" x14ac:dyDescent="0.25">
      <c r="A4726" t="str">
        <f>T("   761100")</f>
        <v xml:space="preserve">   761100</v>
      </c>
      <c r="B4726" t="s">
        <v>395</v>
      </c>
      <c r="C4726">
        <v>820809</v>
      </c>
      <c r="D4726">
        <v>601</v>
      </c>
    </row>
    <row r="4727" spans="1:4" x14ac:dyDescent="0.25">
      <c r="A4727" t="str">
        <f>T("   761290")</f>
        <v xml:space="preserve">   761290</v>
      </c>
      <c r="B4727"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4727">
        <v>3144583</v>
      </c>
      <c r="D4727">
        <v>1076</v>
      </c>
    </row>
    <row r="4728" spans="1:4" x14ac:dyDescent="0.25">
      <c r="A4728" t="str">
        <f>T("   761300")</f>
        <v xml:space="preserve">   761300</v>
      </c>
      <c r="B4728" t="str">
        <f>T("   Récipients en aluminium pour gaz comprimés ou liquéfiés")</f>
        <v xml:space="preserve">   Récipients en aluminium pour gaz comprimés ou liquéfiés</v>
      </c>
      <c r="C4728">
        <v>1420093</v>
      </c>
      <c r="D4728">
        <v>48</v>
      </c>
    </row>
    <row r="4729" spans="1:4" x14ac:dyDescent="0.25">
      <c r="A4729" t="str">
        <f>T("   761490")</f>
        <v xml:space="preserve">   761490</v>
      </c>
      <c r="B4729" t="s">
        <v>396</v>
      </c>
      <c r="C4729">
        <v>1219430</v>
      </c>
      <c r="D4729">
        <v>140</v>
      </c>
    </row>
    <row r="4730" spans="1:4" x14ac:dyDescent="0.25">
      <c r="A4730" t="str">
        <f>T("   761511")</f>
        <v xml:space="preserve">   761511</v>
      </c>
      <c r="B4730"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4730">
        <v>317800</v>
      </c>
      <c r="D4730">
        <v>812</v>
      </c>
    </row>
    <row r="4731" spans="1:4" x14ac:dyDescent="0.25">
      <c r="A4731" t="str">
        <f>T("   761519")</f>
        <v xml:space="preserve">   761519</v>
      </c>
      <c r="B4731" t="s">
        <v>397</v>
      </c>
      <c r="C4731">
        <v>19646882</v>
      </c>
      <c r="D4731">
        <v>7080</v>
      </c>
    </row>
    <row r="4732" spans="1:4" x14ac:dyDescent="0.25">
      <c r="A4732" t="str">
        <f>T("   761610")</f>
        <v xml:space="preserve">   761610</v>
      </c>
      <c r="B4732" t="s">
        <v>398</v>
      </c>
      <c r="C4732">
        <v>2727482</v>
      </c>
      <c r="D4732">
        <v>171</v>
      </c>
    </row>
    <row r="4733" spans="1:4" x14ac:dyDescent="0.25">
      <c r="A4733" t="str">
        <f>T("   761699")</f>
        <v xml:space="preserve">   761699</v>
      </c>
      <c r="B4733" t="str">
        <f>T("   Ouvrages en aluminium, n.d.a.")</f>
        <v xml:space="preserve">   Ouvrages en aluminium, n.d.a.</v>
      </c>
      <c r="C4733">
        <v>38503588</v>
      </c>
      <c r="D4733">
        <v>8712</v>
      </c>
    </row>
    <row r="4734" spans="1:4" x14ac:dyDescent="0.25">
      <c r="A4734" t="str">
        <f>T("   780600")</f>
        <v xml:space="preserve">   780600</v>
      </c>
      <c r="B4734" t="str">
        <f>T("   Ouvrages en plomb, n.d.a.")</f>
        <v xml:space="preserve">   Ouvrages en plomb, n.d.a.</v>
      </c>
      <c r="C4734">
        <v>50000</v>
      </c>
      <c r="D4734">
        <v>86</v>
      </c>
    </row>
    <row r="4735" spans="1:4" x14ac:dyDescent="0.25">
      <c r="A4735" t="str">
        <f>T("   810197")</f>
        <v xml:space="preserve">   810197</v>
      </c>
      <c r="B4735" t="str">
        <f>T("   Déchets et débris de tungstène [wolfram] (sauf cendres et résidus contenant du tungstène)")</f>
        <v xml:space="preserve">   Déchets et débris de tungstène [wolfram] (sauf cendres et résidus contenant du tungstène)</v>
      </c>
      <c r="C4735">
        <v>26503022</v>
      </c>
      <c r="D4735">
        <v>528</v>
      </c>
    </row>
    <row r="4736" spans="1:4" x14ac:dyDescent="0.25">
      <c r="A4736" t="str">
        <f>T("   820130")</f>
        <v xml:space="preserve">   820130</v>
      </c>
      <c r="B4736" t="str">
        <f>T("   Pioches, pics, houes, binettes, râteaux et racloirs, avec partie travaillante en métaux communs (sauf piolets)")</f>
        <v xml:space="preserve">   Pioches, pics, houes, binettes, râteaux et racloirs, avec partie travaillante en métaux communs (sauf piolets)</v>
      </c>
      <c r="C4736">
        <v>72811</v>
      </c>
      <c r="D4736">
        <v>121</v>
      </c>
    </row>
    <row r="4737" spans="1:4" x14ac:dyDescent="0.25">
      <c r="A4737" t="str">
        <f>T("   820160")</f>
        <v xml:space="preserve">   820160</v>
      </c>
      <c r="B4737" t="str">
        <f>T("   Cisailles à haies, sécateurs et outils simil. maniés à deux mains, avec partie travaillante en métaux communs")</f>
        <v xml:space="preserve">   Cisailles à haies, sécateurs et outils simil. maniés à deux mains, avec partie travaillante en métaux communs</v>
      </c>
      <c r="C4737">
        <v>1629405</v>
      </c>
      <c r="D4737">
        <v>378</v>
      </c>
    </row>
    <row r="4738" spans="1:4" x14ac:dyDescent="0.25">
      <c r="A4738" t="str">
        <f>T("   820190")</f>
        <v xml:space="preserve">   820190</v>
      </c>
      <c r="B4738" t="s">
        <v>399</v>
      </c>
      <c r="C4738">
        <v>700984</v>
      </c>
      <c r="D4738">
        <v>193</v>
      </c>
    </row>
    <row r="4739" spans="1:4" x14ac:dyDescent="0.25">
      <c r="A4739" t="str">
        <f>T("   820210")</f>
        <v xml:space="preserve">   820210</v>
      </c>
      <c r="B4739" t="str">
        <f>T("   Scies à main, avec partie travaillante en métaux communs (à l'excl. des tronçonneuses)")</f>
        <v xml:space="preserve">   Scies à main, avec partie travaillante en métaux communs (à l'excl. des tronçonneuses)</v>
      </c>
      <c r="C4739">
        <v>15816322</v>
      </c>
      <c r="D4739">
        <v>4249</v>
      </c>
    </row>
    <row r="4740" spans="1:4" x14ac:dyDescent="0.25">
      <c r="A4740" t="str">
        <f>T("   820231")</f>
        <v xml:space="preserve">   820231</v>
      </c>
      <c r="B4740" t="str">
        <f>T("   Lames de scies circulaires, y.c. -les lames de fraises-scies- en métaux communs et avec partie travaillante en acier")</f>
        <v xml:space="preserve">   Lames de scies circulaires, y.c. -les lames de fraises-scies- en métaux communs et avec partie travaillante en acier</v>
      </c>
      <c r="C4740">
        <v>337000</v>
      </c>
      <c r="D4740">
        <v>60</v>
      </c>
    </row>
    <row r="4741" spans="1:4" x14ac:dyDescent="0.25">
      <c r="A4741" t="str">
        <f>T("   820291")</f>
        <v xml:space="preserve">   820291</v>
      </c>
      <c r="B4741" t="str">
        <f>T("   LAMES DE SCIES DROITES EN METAUX COMMUNS, POUR LE TRAVAIL DES METAUX")</f>
        <v xml:space="preserve">   LAMES DE SCIES DROITES EN METAUX COMMUNS, POUR LE TRAVAIL DES METAUX</v>
      </c>
      <c r="C4741">
        <v>53133</v>
      </c>
      <c r="D4741">
        <v>5</v>
      </c>
    </row>
    <row r="4742" spans="1:4" x14ac:dyDescent="0.25">
      <c r="A4742" t="str">
        <f>T("   820299")</f>
        <v xml:space="preserve">   820299</v>
      </c>
      <c r="B4742" t="s">
        <v>400</v>
      </c>
      <c r="C4742">
        <v>14061762</v>
      </c>
      <c r="D4742">
        <v>25429</v>
      </c>
    </row>
    <row r="4743" spans="1:4" x14ac:dyDescent="0.25">
      <c r="A4743" t="str">
        <f>T("   820310")</f>
        <v xml:space="preserve">   820310</v>
      </c>
      <c r="B4743" t="str">
        <f>T("   Limes, râpes et outils simil. à main, en métaux communs")</f>
        <v xml:space="preserve">   Limes, râpes et outils simil. à main, en métaux communs</v>
      </c>
      <c r="C4743">
        <v>1867155</v>
      </c>
      <c r="D4743">
        <v>43</v>
      </c>
    </row>
    <row r="4744" spans="1:4" x14ac:dyDescent="0.25">
      <c r="A4744" t="str">
        <f>T("   820320")</f>
        <v xml:space="preserve">   820320</v>
      </c>
      <c r="B4744" t="str">
        <f>T("   PINCES -MÊME COUPANTES-, TENAILLES, BRUCELLES À USAGE NON-MÉDICAL ET OUTILS SIMIL. À MAIN, EN MÉTAUX COMMUNS")</f>
        <v xml:space="preserve">   PINCES -MÊME COUPANTES-, TENAILLES, BRUCELLES À USAGE NON-MÉDICAL ET OUTILS SIMIL. À MAIN, EN MÉTAUX COMMUNS</v>
      </c>
      <c r="C4744">
        <v>3315572</v>
      </c>
      <c r="D4744">
        <v>361</v>
      </c>
    </row>
    <row r="4745" spans="1:4" x14ac:dyDescent="0.25">
      <c r="A4745" t="str">
        <f>T("   820340")</f>
        <v xml:space="preserve">   820340</v>
      </c>
      <c r="B4745" t="str">
        <f>T("   Coupe-tubes, coupe-boulons, emporte-pièce et outils simil., à main, en métaux communs")</f>
        <v xml:space="preserve">   Coupe-tubes, coupe-boulons, emporte-pièce et outils simil., à main, en métaux communs</v>
      </c>
      <c r="C4745">
        <v>599716</v>
      </c>
      <c r="D4745">
        <v>230</v>
      </c>
    </row>
    <row r="4746" spans="1:4" x14ac:dyDescent="0.25">
      <c r="A4746" t="str">
        <f>T("   820411")</f>
        <v xml:space="preserve">   820411</v>
      </c>
      <c r="B4746" t="str">
        <f>T("   Clés de serrage à main, y.c. -les clés dynamométriques-, en métaux communs, à ouverture fixe")</f>
        <v xml:space="preserve">   Clés de serrage à main, y.c. -les clés dynamométriques-, en métaux communs, à ouverture fixe</v>
      </c>
      <c r="C4746">
        <v>10001722</v>
      </c>
      <c r="D4746">
        <v>428.5</v>
      </c>
    </row>
    <row r="4747" spans="1:4" x14ac:dyDescent="0.25">
      <c r="A4747" t="str">
        <f>T("   820412")</f>
        <v xml:space="preserve">   820412</v>
      </c>
      <c r="B4747" t="str">
        <f>T("   Clés de serrage à main, y.c. -les clés dynamométriques-, en métaux communs, à ouverture variable")</f>
        <v xml:space="preserve">   Clés de serrage à main, y.c. -les clés dynamométriques-, en métaux communs, à ouverture variable</v>
      </c>
      <c r="C4747">
        <v>2065619</v>
      </c>
      <c r="D4747">
        <v>726</v>
      </c>
    </row>
    <row r="4748" spans="1:4" x14ac:dyDescent="0.25">
      <c r="A4748" t="str">
        <f>T("   820420")</f>
        <v xml:space="preserve">   820420</v>
      </c>
      <c r="B4748" t="str">
        <f>T("   Douilles de serrage interchangeables, même avec manches, en métaux communs")</f>
        <v xml:space="preserve">   Douilles de serrage interchangeables, même avec manches, en métaux communs</v>
      </c>
      <c r="C4748">
        <v>7060863</v>
      </c>
      <c r="D4748">
        <v>945</v>
      </c>
    </row>
    <row r="4749" spans="1:4" x14ac:dyDescent="0.25">
      <c r="A4749" t="str">
        <f>T("   820520")</f>
        <v xml:space="preserve">   820520</v>
      </c>
      <c r="B4749" t="str">
        <f>T("   Marteaux et masses, avec partie travaillante en métaux communs")</f>
        <v xml:space="preserve">   Marteaux et masses, avec partie travaillante en métaux communs</v>
      </c>
      <c r="C4749">
        <v>5324427</v>
      </c>
      <c r="D4749">
        <v>1763</v>
      </c>
    </row>
    <row r="4750" spans="1:4" x14ac:dyDescent="0.25">
      <c r="A4750" t="str">
        <f>T("   820530")</f>
        <v xml:space="preserve">   820530</v>
      </c>
      <c r="B4750" t="str">
        <f>T("   Rabots, ciseaux, gouges et outils tranchants simil. à main pour le travail du bois")</f>
        <v xml:space="preserve">   Rabots, ciseaux, gouges et outils tranchants simil. à main pour le travail du bois</v>
      </c>
      <c r="C4750">
        <v>5248</v>
      </c>
      <c r="D4750">
        <v>1</v>
      </c>
    </row>
    <row r="4751" spans="1:4" x14ac:dyDescent="0.25">
      <c r="A4751" t="str">
        <f>T("   820540")</f>
        <v xml:space="preserve">   820540</v>
      </c>
      <c r="B4751" t="str">
        <f>T("   Tournevis à main")</f>
        <v xml:space="preserve">   Tournevis à main</v>
      </c>
      <c r="C4751">
        <v>1641928</v>
      </c>
      <c r="D4751">
        <v>160</v>
      </c>
    </row>
    <row r="4752" spans="1:4" x14ac:dyDescent="0.25">
      <c r="A4752" t="str">
        <f>T("   820551")</f>
        <v xml:space="preserve">   820551</v>
      </c>
      <c r="B4752" t="str">
        <f>T("   Outils à main d'économie domestique, non mécaniques, avec partie travaillante en métaux communs, n.d.a.")</f>
        <v xml:space="preserve">   Outils à main d'économie domestique, non mécaniques, avec partie travaillante en métaux communs, n.d.a.</v>
      </c>
      <c r="C4752">
        <v>19338318</v>
      </c>
      <c r="D4752">
        <v>3383</v>
      </c>
    </row>
    <row r="4753" spans="1:4" x14ac:dyDescent="0.25">
      <c r="A4753" t="str">
        <f>T("   820559")</f>
        <v xml:space="preserve">   820559</v>
      </c>
      <c r="B4753" t="str">
        <f>T("   Outils à main, y.c. -les diamants de vitrier-, en métaux communs, n.d.a.")</f>
        <v xml:space="preserve">   Outils à main, y.c. -les diamants de vitrier-, en métaux communs, n.d.a.</v>
      </c>
      <c r="C4753">
        <v>75958032</v>
      </c>
      <c r="D4753">
        <v>17721</v>
      </c>
    </row>
    <row r="4754" spans="1:4" x14ac:dyDescent="0.25">
      <c r="A4754" t="str">
        <f>T("   820560")</f>
        <v xml:space="preserve">   820560</v>
      </c>
      <c r="B4754" t="str">
        <f>T("   Lampes à souder et simil. (sauf appareils à souder fonctionnant au gaz)")</f>
        <v xml:space="preserve">   Lampes à souder et simil. (sauf appareils à souder fonctionnant au gaz)</v>
      </c>
      <c r="C4754">
        <v>258022</v>
      </c>
      <c r="D4754">
        <v>10</v>
      </c>
    </row>
    <row r="4755" spans="1:4" x14ac:dyDescent="0.25">
      <c r="A4755" t="str">
        <f>T("   820570")</f>
        <v xml:space="preserve">   820570</v>
      </c>
      <c r="B4755" t="str">
        <f>T("   Etaux, serre-joints et simil. (autres que ceux constituant des accessoires ou des parties de machines-outils)")</f>
        <v xml:space="preserve">   Etaux, serre-joints et simil. (autres que ceux constituant des accessoires ou des parties de machines-outils)</v>
      </c>
      <c r="C4755">
        <v>970820</v>
      </c>
      <c r="D4755">
        <v>2288</v>
      </c>
    </row>
    <row r="4756" spans="1:4" x14ac:dyDescent="0.25">
      <c r="A4756" t="str">
        <f>T("   820580")</f>
        <v xml:space="preserve">   820580</v>
      </c>
      <c r="B4756" t="str">
        <f>T("   Enclumes; forges portatives; meules avec bâtis, à main ou à pédale")</f>
        <v xml:space="preserve">   Enclumes; forges portatives; meules avec bâtis, à main ou à pédale</v>
      </c>
      <c r="C4756">
        <v>1655453</v>
      </c>
      <c r="D4756">
        <v>225</v>
      </c>
    </row>
    <row r="4757" spans="1:4" x14ac:dyDescent="0.25">
      <c r="A4757" t="str">
        <f>T("   820590")</f>
        <v xml:space="preserve">   820590</v>
      </c>
      <c r="B4757" t="str">
        <f>T("   Assortiments d'outils d'au moins deux des sous-positions du n° 8205")</f>
        <v xml:space="preserve">   Assortiments d'outils d'au moins deux des sous-positions du n° 8205</v>
      </c>
      <c r="C4757">
        <v>5945152</v>
      </c>
      <c r="D4757">
        <v>1720</v>
      </c>
    </row>
    <row r="4758" spans="1:4" x14ac:dyDescent="0.25">
      <c r="A4758" t="str">
        <f>T("   820600")</f>
        <v xml:space="preserve">   820600</v>
      </c>
      <c r="B4758" t="str">
        <f>T("   Outils d'au moins deux du n° 8202 à 8205, conditionnés en assortiments pour la vente au détail")</f>
        <v xml:space="preserve">   Outils d'au moins deux du n° 8202 à 8205, conditionnés en assortiments pour la vente au détail</v>
      </c>
      <c r="C4758">
        <v>8285506</v>
      </c>
      <c r="D4758">
        <v>237</v>
      </c>
    </row>
    <row r="4759" spans="1:4" x14ac:dyDescent="0.25">
      <c r="A4759" t="str">
        <f>T("   820719")</f>
        <v xml:space="preserve">   820719</v>
      </c>
      <c r="B4759"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4759">
        <v>4260768</v>
      </c>
      <c r="D4759">
        <v>1148</v>
      </c>
    </row>
    <row r="4760" spans="1:4" x14ac:dyDescent="0.25">
      <c r="A4760" t="str">
        <f>T("   820720")</f>
        <v xml:space="preserve">   820720</v>
      </c>
      <c r="B4760" t="str">
        <f>T("   Filières interchangeables pour l'étirage ou le filage -extrusion- des métaux")</f>
        <v xml:space="preserve">   Filières interchangeables pour l'étirage ou le filage -extrusion- des métaux</v>
      </c>
      <c r="C4760">
        <v>1442955</v>
      </c>
      <c r="D4760">
        <v>34</v>
      </c>
    </row>
    <row r="4761" spans="1:4" x14ac:dyDescent="0.25">
      <c r="A4761" t="str">
        <f>T("   820730")</f>
        <v xml:space="preserve">   820730</v>
      </c>
      <c r="B4761" t="str">
        <f>T("   Outils interchangeables à emboutir, à estamper ou à poinçonner")</f>
        <v xml:space="preserve">   Outils interchangeables à emboutir, à estamper ou à poinçonner</v>
      </c>
      <c r="C4761">
        <v>163334</v>
      </c>
      <c r="D4761">
        <v>2</v>
      </c>
    </row>
    <row r="4762" spans="1:4" x14ac:dyDescent="0.25">
      <c r="A4762" t="str">
        <f>T("   820740")</f>
        <v xml:space="preserve">   820740</v>
      </c>
      <c r="B4762" t="str">
        <f>T("   Outils interchangeables à tarauder ou à fileter")</f>
        <v xml:space="preserve">   Outils interchangeables à tarauder ou à fileter</v>
      </c>
      <c r="C4762">
        <v>4942002</v>
      </c>
      <c r="D4762">
        <v>260</v>
      </c>
    </row>
    <row r="4763" spans="1:4" x14ac:dyDescent="0.25">
      <c r="A4763" t="str">
        <f>T("   820750")</f>
        <v xml:space="preserve">   820750</v>
      </c>
      <c r="B4763"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4763">
        <v>6085417</v>
      </c>
      <c r="D4763">
        <v>683</v>
      </c>
    </row>
    <row r="4764" spans="1:4" x14ac:dyDescent="0.25">
      <c r="A4764" t="str">
        <f>T("   820760")</f>
        <v xml:space="preserve">   820760</v>
      </c>
      <c r="B4764" t="str">
        <f>T("   Outils interchangeables à aléser ou à brocher")</f>
        <v xml:space="preserve">   Outils interchangeables à aléser ou à brocher</v>
      </c>
      <c r="C4764">
        <v>30830</v>
      </c>
      <c r="D4764">
        <v>3</v>
      </c>
    </row>
    <row r="4765" spans="1:4" x14ac:dyDescent="0.25">
      <c r="A4765" t="str">
        <f>T("   820780")</f>
        <v xml:space="preserve">   820780</v>
      </c>
      <c r="B4765" t="str">
        <f>T("   Outils interchangeables à tourner")</f>
        <v xml:space="preserve">   Outils interchangeables à tourner</v>
      </c>
      <c r="C4765">
        <v>1662999</v>
      </c>
      <c r="D4765">
        <v>9</v>
      </c>
    </row>
    <row r="4766" spans="1:4" x14ac:dyDescent="0.25">
      <c r="A4766" t="str">
        <f>T("   820790")</f>
        <v xml:space="preserve">   820790</v>
      </c>
      <c r="B4766" t="str">
        <f>T("   Outils interchangeables pour outillage à main, mécanique ou non, ou pour machines-outils, n.d.a.")</f>
        <v xml:space="preserve">   Outils interchangeables pour outillage à main, mécanique ou non, ou pour machines-outils, n.d.a.</v>
      </c>
      <c r="C4766">
        <v>14184703</v>
      </c>
      <c r="D4766">
        <v>928.96</v>
      </c>
    </row>
    <row r="4767" spans="1:4" x14ac:dyDescent="0.25">
      <c r="A4767" t="str">
        <f>T("   820810")</f>
        <v xml:space="preserve">   820810</v>
      </c>
      <c r="B4767" t="str">
        <f>T("   Couteaux et lames tranchantes, en métaux communs, pour machines ou pour appareils mécaniques, pour le travail des métaux")</f>
        <v xml:space="preserve">   Couteaux et lames tranchantes, en métaux communs, pour machines ou pour appareils mécaniques, pour le travail des métaux</v>
      </c>
      <c r="C4767">
        <v>6750813</v>
      </c>
      <c r="D4767">
        <v>316</v>
      </c>
    </row>
    <row r="4768" spans="1:4" x14ac:dyDescent="0.25">
      <c r="A4768" t="str">
        <f>T("   820890")</f>
        <v xml:space="preserve">   820890</v>
      </c>
      <c r="B4768" t="s">
        <v>401</v>
      </c>
      <c r="C4768">
        <v>736644</v>
      </c>
      <c r="D4768">
        <v>91</v>
      </c>
    </row>
    <row r="4769" spans="1:4" x14ac:dyDescent="0.25">
      <c r="A4769" t="str">
        <f>T("   820900")</f>
        <v xml:space="preserve">   820900</v>
      </c>
      <c r="B4769" t="str">
        <f>T("   PLAQUETTES, BAGUETTES, POINTES ET OBJETS SIMIL. POUR OUTILS, NON-MONTÉS, CONSTITUÉS PAR DES CARBURES MÉTALLIQUES FRITTÉS OU DES CERMETS")</f>
        <v xml:space="preserve">   PLAQUETTES, BAGUETTES, POINTES ET OBJETS SIMIL. POUR OUTILS, NON-MONTÉS, CONSTITUÉS PAR DES CARBURES MÉTALLIQUES FRITTÉS OU DES CERMETS</v>
      </c>
      <c r="C4769">
        <v>40936876</v>
      </c>
      <c r="D4769">
        <v>2172</v>
      </c>
    </row>
    <row r="4770" spans="1:4" x14ac:dyDescent="0.25">
      <c r="A4770" t="str">
        <f>T("   821000")</f>
        <v xml:space="preserve">   821000</v>
      </c>
      <c r="B4770" t="s">
        <v>402</v>
      </c>
      <c r="C4770">
        <v>937367</v>
      </c>
      <c r="D4770">
        <v>157</v>
      </c>
    </row>
    <row r="4771" spans="1:4" x14ac:dyDescent="0.25">
      <c r="A4771" t="str">
        <f>T("   821191")</f>
        <v xml:space="preserve">   821191</v>
      </c>
      <c r="B4771" t="str">
        <f>T("   Couteaux de table à lame fixe, en métaux communs, y.c. les manches (sauf couteaux à beurre et couteaux à poisson)")</f>
        <v xml:space="preserve">   Couteaux de table à lame fixe, en métaux communs, y.c. les manches (sauf couteaux à beurre et couteaux à poisson)</v>
      </c>
      <c r="C4771">
        <v>667768</v>
      </c>
      <c r="D4771">
        <v>113</v>
      </c>
    </row>
    <row r="4772" spans="1:4" x14ac:dyDescent="0.25">
      <c r="A4772" t="str">
        <f>T("   821192")</f>
        <v xml:space="preserve">   821192</v>
      </c>
      <c r="B4772" t="s">
        <v>403</v>
      </c>
      <c r="C4772">
        <v>1622845</v>
      </c>
      <c r="D4772">
        <v>234</v>
      </c>
    </row>
    <row r="4773" spans="1:4" x14ac:dyDescent="0.25">
      <c r="A4773" t="str">
        <f>T("   821210")</f>
        <v xml:space="preserve">   821210</v>
      </c>
      <c r="B4773" t="str">
        <f>T("   Rasoirs et rasoirs de sûreté non-électriques, en métaux communs")</f>
        <v xml:space="preserve">   Rasoirs et rasoirs de sûreté non-électriques, en métaux communs</v>
      </c>
      <c r="C4773">
        <v>4431009</v>
      </c>
      <c r="D4773">
        <v>1600</v>
      </c>
    </row>
    <row r="4774" spans="1:4" x14ac:dyDescent="0.25">
      <c r="A4774" t="str">
        <f>T("   821300")</f>
        <v xml:space="preserve">   821300</v>
      </c>
      <c r="B4774"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4774">
        <v>709841</v>
      </c>
      <c r="D4774">
        <v>121</v>
      </c>
    </row>
    <row r="4775" spans="1:4" x14ac:dyDescent="0.25">
      <c r="A4775" t="str">
        <f>T("   821420")</f>
        <v xml:space="preserve">   821420</v>
      </c>
      <c r="B4775"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4775">
        <v>5171590</v>
      </c>
      <c r="D4775">
        <v>901</v>
      </c>
    </row>
    <row r="4776" spans="1:4" x14ac:dyDescent="0.25">
      <c r="A4776" t="str">
        <f>T("   821490")</f>
        <v xml:space="preserve">   821490</v>
      </c>
      <c r="B4776" t="str">
        <f>T("   Tondeuses de coiffeur et autres articles à couper, n.d.a., en métaux communs")</f>
        <v xml:space="preserve">   Tondeuses de coiffeur et autres articles à couper, n.d.a., en métaux communs</v>
      </c>
      <c r="C4776">
        <v>2732540</v>
      </c>
      <c r="D4776">
        <v>1229.5</v>
      </c>
    </row>
    <row r="4777" spans="1:4" x14ac:dyDescent="0.25">
      <c r="A4777" t="str">
        <f>T("   821520")</f>
        <v xml:space="preserve">   821520</v>
      </c>
      <c r="B477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4777">
        <v>10788574</v>
      </c>
      <c r="D4777">
        <v>2096</v>
      </c>
    </row>
    <row r="4778" spans="1:4" x14ac:dyDescent="0.25">
      <c r="A4778" t="str">
        <f>T("   821599")</f>
        <v xml:space="preserve">   821599</v>
      </c>
      <c r="B4778" t="s">
        <v>404</v>
      </c>
      <c r="C4778">
        <v>1989817</v>
      </c>
      <c r="D4778">
        <v>625</v>
      </c>
    </row>
    <row r="4779" spans="1:4" x14ac:dyDescent="0.25">
      <c r="A4779" t="str">
        <f>T("   830110")</f>
        <v xml:space="preserve">   830110</v>
      </c>
      <c r="B4779" t="str">
        <f>T("   Cadenas, en métaux communs")</f>
        <v xml:space="preserve">   Cadenas, en métaux communs</v>
      </c>
      <c r="C4779">
        <v>5726532</v>
      </c>
      <c r="D4779">
        <v>3416</v>
      </c>
    </row>
    <row r="4780" spans="1:4" x14ac:dyDescent="0.25">
      <c r="A4780" t="str">
        <f>T("   830120")</f>
        <v xml:space="preserve">   830120</v>
      </c>
      <c r="B4780" t="str">
        <f>T("   Serrures des types utilisés pour véhicules automobiles, en métaux communs")</f>
        <v xml:space="preserve">   Serrures des types utilisés pour véhicules automobiles, en métaux communs</v>
      </c>
      <c r="C4780">
        <v>8623887</v>
      </c>
      <c r="D4780">
        <v>138.5</v>
      </c>
    </row>
    <row r="4781" spans="1:4" x14ac:dyDescent="0.25">
      <c r="A4781" t="str">
        <f>T("   830140")</f>
        <v xml:space="preserve">   830140</v>
      </c>
      <c r="B478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4781">
        <v>138178286</v>
      </c>
      <c r="D4781">
        <v>43884</v>
      </c>
    </row>
    <row r="4782" spans="1:4" x14ac:dyDescent="0.25">
      <c r="A4782" t="str">
        <f>T("   830150")</f>
        <v xml:space="preserve">   830150</v>
      </c>
      <c r="B4782" t="str">
        <f>T("   Fermoirs et montures-fermoirs avec serrure, en métaux communs")</f>
        <v xml:space="preserve">   Fermoirs et montures-fermoirs avec serrure, en métaux communs</v>
      </c>
      <c r="C4782">
        <v>380457</v>
      </c>
      <c r="D4782">
        <v>64</v>
      </c>
    </row>
    <row r="4783" spans="1:4" x14ac:dyDescent="0.25">
      <c r="A4783" t="str">
        <f>T("   830160")</f>
        <v xml:space="preserve">   830160</v>
      </c>
      <c r="B4783" t="str">
        <f>T("   Parties des cadenas, serrures et verrous, ainsi que des fermoirs et montures-fermoirs, avec serrure, en métaux communs, n.d.a.")</f>
        <v xml:space="preserve">   Parties des cadenas, serrures et verrous, ainsi que des fermoirs et montures-fermoirs, avec serrure, en métaux communs, n.d.a.</v>
      </c>
      <c r="C4783">
        <v>9588479</v>
      </c>
      <c r="D4783">
        <v>715</v>
      </c>
    </row>
    <row r="4784" spans="1:4" x14ac:dyDescent="0.25">
      <c r="A4784" t="str">
        <f>T("   830170")</f>
        <v xml:space="preserve">   830170</v>
      </c>
      <c r="B4784"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4784">
        <v>1103144</v>
      </c>
      <c r="D4784">
        <v>74.3</v>
      </c>
    </row>
    <row r="4785" spans="1:4" x14ac:dyDescent="0.25">
      <c r="A4785" t="str">
        <f>T("   830210")</f>
        <v xml:space="preserve">   830210</v>
      </c>
      <c r="B4785" t="str">
        <f>T("   Charnières de tous genres, y.c. les paumelles et pentures, en métaux communs")</f>
        <v xml:space="preserve">   Charnières de tous genres, y.c. les paumelles et pentures, en métaux communs</v>
      </c>
      <c r="C4785">
        <v>8993899</v>
      </c>
      <c r="D4785">
        <v>1675.2</v>
      </c>
    </row>
    <row r="4786" spans="1:4" x14ac:dyDescent="0.25">
      <c r="A4786" t="str">
        <f>T("   830220")</f>
        <v xml:space="preserve">   830220</v>
      </c>
      <c r="B4786" t="str">
        <f>T("   Roulettes avec monture en métaux communs")</f>
        <v xml:space="preserve">   Roulettes avec monture en métaux communs</v>
      </c>
      <c r="C4786">
        <v>3223999</v>
      </c>
      <c r="D4786">
        <v>586</v>
      </c>
    </row>
    <row r="4787" spans="1:4" x14ac:dyDescent="0.25">
      <c r="A4787" t="str">
        <f>T("   830230")</f>
        <v xml:space="preserve">   830230</v>
      </c>
      <c r="B4787" t="str">
        <f>T("   Garnitures, ferrures et simil. en métaux communs, pour véhicules automobiles (sauf charnières et serrures)")</f>
        <v xml:space="preserve">   Garnitures, ferrures et simil. en métaux communs, pour véhicules automobiles (sauf charnières et serrures)</v>
      </c>
      <c r="C4787">
        <v>451786</v>
      </c>
      <c r="D4787">
        <v>21</v>
      </c>
    </row>
    <row r="4788" spans="1:4" x14ac:dyDescent="0.25">
      <c r="A4788" t="str">
        <f>T("   830241")</f>
        <v xml:space="preserve">   830241</v>
      </c>
      <c r="B4788"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4788">
        <v>5667219</v>
      </c>
      <c r="D4788">
        <v>1283.04</v>
      </c>
    </row>
    <row r="4789" spans="1:4" x14ac:dyDescent="0.25">
      <c r="A4789" t="str">
        <f>T("   830242")</f>
        <v xml:space="preserve">   830242</v>
      </c>
      <c r="B4789"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4789">
        <v>604795</v>
      </c>
      <c r="D4789">
        <v>99</v>
      </c>
    </row>
    <row r="4790" spans="1:4" x14ac:dyDescent="0.25">
      <c r="A4790" t="str">
        <f>T("   830249")</f>
        <v xml:space="preserve">   830249</v>
      </c>
      <c r="B4790" t="s">
        <v>405</v>
      </c>
      <c r="C4790">
        <v>25036231</v>
      </c>
      <c r="D4790">
        <v>2765</v>
      </c>
    </row>
    <row r="4791" spans="1:4" x14ac:dyDescent="0.25">
      <c r="A4791" t="str">
        <f>T("   830250")</f>
        <v xml:space="preserve">   830250</v>
      </c>
      <c r="B4791" t="str">
        <f>T("   Patères, porte-chapeaux, supports et articles simil. en métaux communs")</f>
        <v xml:space="preserve">   Patères, porte-chapeaux, supports et articles simil. en métaux communs</v>
      </c>
      <c r="C4791">
        <v>5974476</v>
      </c>
      <c r="D4791">
        <v>519</v>
      </c>
    </row>
    <row r="4792" spans="1:4" x14ac:dyDescent="0.25">
      <c r="A4792" t="str">
        <f>T("   830260")</f>
        <v xml:space="preserve">   830260</v>
      </c>
      <c r="B4792" t="str">
        <f>T("   Ferme-portes automatiques en métaux communs")</f>
        <v xml:space="preserve">   Ferme-portes automatiques en métaux communs</v>
      </c>
      <c r="C4792">
        <v>1429776</v>
      </c>
      <c r="D4792">
        <v>86</v>
      </c>
    </row>
    <row r="4793" spans="1:4" x14ac:dyDescent="0.25">
      <c r="A4793" t="str">
        <f>T("   830300")</f>
        <v xml:space="preserve">   830300</v>
      </c>
      <c r="B4793"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4793">
        <v>22721427</v>
      </c>
      <c r="D4793">
        <v>11149</v>
      </c>
    </row>
    <row r="4794" spans="1:4" x14ac:dyDescent="0.25">
      <c r="A4794" t="str">
        <f>T("   830400")</f>
        <v xml:space="preserve">   830400</v>
      </c>
      <c r="B4794"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4794">
        <v>14329008</v>
      </c>
      <c r="D4794">
        <v>1344</v>
      </c>
    </row>
    <row r="4795" spans="1:4" x14ac:dyDescent="0.25">
      <c r="A4795" t="str">
        <f>T("   830520")</f>
        <v xml:space="preserve">   830520</v>
      </c>
      <c r="B4795" t="str">
        <f>T("   Agrafes présentées en barrettes, en métaux communs")</f>
        <v xml:space="preserve">   Agrafes présentées en barrettes, en métaux communs</v>
      </c>
      <c r="C4795">
        <v>1871205</v>
      </c>
      <c r="D4795">
        <v>2195</v>
      </c>
    </row>
    <row r="4796" spans="1:4" x14ac:dyDescent="0.25">
      <c r="A4796" t="str">
        <f>T("   830590")</f>
        <v xml:space="preserve">   830590</v>
      </c>
      <c r="B4796" t="s">
        <v>406</v>
      </c>
      <c r="C4796">
        <v>2849996</v>
      </c>
      <c r="D4796">
        <v>1970</v>
      </c>
    </row>
    <row r="4797" spans="1:4" x14ac:dyDescent="0.25">
      <c r="A4797" t="str">
        <f>T("   830629")</f>
        <v xml:space="preserve">   830629</v>
      </c>
      <c r="B4797"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4797">
        <v>3186150</v>
      </c>
      <c r="D4797">
        <v>1045</v>
      </c>
    </row>
    <row r="4798" spans="1:4" x14ac:dyDescent="0.25">
      <c r="A4798" t="str">
        <f>T("   830710")</f>
        <v xml:space="preserve">   830710</v>
      </c>
      <c r="B4798" t="str">
        <f>T("   Tuyaux flexibles en fer ou en acier, même avec accessoires")</f>
        <v xml:space="preserve">   Tuyaux flexibles en fer ou en acier, même avec accessoires</v>
      </c>
      <c r="C4798">
        <v>14098793</v>
      </c>
      <c r="D4798">
        <v>924</v>
      </c>
    </row>
    <row r="4799" spans="1:4" x14ac:dyDescent="0.25">
      <c r="A4799" t="str">
        <f>T("   830790")</f>
        <v xml:space="preserve">   830790</v>
      </c>
      <c r="B4799" t="str">
        <f>T("   Tuyaux flexibles en métaux communs autres que le fer ou l'acier, même avec accessoires")</f>
        <v xml:space="preserve">   Tuyaux flexibles en métaux communs autres que le fer ou l'acier, même avec accessoires</v>
      </c>
      <c r="C4799">
        <v>2987990</v>
      </c>
      <c r="D4799">
        <v>1990</v>
      </c>
    </row>
    <row r="4800" spans="1:4" x14ac:dyDescent="0.25">
      <c r="A4800" t="str">
        <f>T("   830890")</f>
        <v xml:space="preserve">   830890</v>
      </c>
      <c r="B4800" t="s">
        <v>407</v>
      </c>
      <c r="C4800">
        <v>5339651</v>
      </c>
      <c r="D4800">
        <v>5896</v>
      </c>
    </row>
    <row r="4801" spans="1:4" x14ac:dyDescent="0.25">
      <c r="A4801" t="str">
        <f>T("   830910")</f>
        <v xml:space="preserve">   830910</v>
      </c>
      <c r="B4801" t="str">
        <f>T("   Bouchons-couronnes en métaux communs")</f>
        <v xml:space="preserve">   Bouchons-couronnes en métaux communs</v>
      </c>
      <c r="C4801">
        <v>1360109736</v>
      </c>
      <c r="D4801">
        <v>686978</v>
      </c>
    </row>
    <row r="4802" spans="1:4" x14ac:dyDescent="0.25">
      <c r="A4802" t="str">
        <f>T("   830990")</f>
        <v xml:space="preserve">   830990</v>
      </c>
      <c r="B4802"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4802">
        <v>1746179</v>
      </c>
      <c r="D4802">
        <v>126.25</v>
      </c>
    </row>
    <row r="4803" spans="1:4" x14ac:dyDescent="0.25">
      <c r="A4803" t="str">
        <f>T("   831000")</f>
        <v xml:space="preserve">   831000</v>
      </c>
      <c r="B4803" t="s">
        <v>408</v>
      </c>
      <c r="C4803">
        <v>35365915</v>
      </c>
      <c r="D4803">
        <v>3049</v>
      </c>
    </row>
    <row r="4804" spans="1:4" x14ac:dyDescent="0.25">
      <c r="A4804" t="str">
        <f>T("   831110")</f>
        <v xml:space="preserve">   831110</v>
      </c>
      <c r="B4804" t="str">
        <f>T("   ÉLECTRODES ENROBÉES EN MÉTAUX COMMUNS, POUR LE SOUDAGE À L'ARC")</f>
        <v xml:space="preserve">   ÉLECTRODES ENROBÉES EN MÉTAUX COMMUNS, POUR LE SOUDAGE À L'ARC</v>
      </c>
      <c r="C4804">
        <v>15465889</v>
      </c>
      <c r="D4804">
        <v>2399</v>
      </c>
    </row>
    <row r="4805" spans="1:4" x14ac:dyDescent="0.25">
      <c r="A4805" t="str">
        <f>T("   831130")</f>
        <v xml:space="preserve">   831130</v>
      </c>
      <c r="B4805" t="s">
        <v>409</v>
      </c>
      <c r="C4805">
        <v>4194739</v>
      </c>
      <c r="D4805">
        <v>803</v>
      </c>
    </row>
    <row r="4806" spans="1:4" x14ac:dyDescent="0.25">
      <c r="A4806" t="str">
        <f>T("   831190")</f>
        <v xml:space="preserve">   831190</v>
      </c>
      <c r="B4806" t="s">
        <v>410</v>
      </c>
      <c r="C4806">
        <v>45125294</v>
      </c>
      <c r="D4806">
        <v>6260</v>
      </c>
    </row>
    <row r="4807" spans="1:4" x14ac:dyDescent="0.25">
      <c r="A4807" t="str">
        <f>T("   840290")</f>
        <v xml:space="preserve">   840290</v>
      </c>
      <c r="B4807" t="str">
        <f>T("   Parties de chaudières à vapeur et de chaudières dites -à eau surchauffée-, n.d.a.")</f>
        <v xml:space="preserve">   Parties de chaudières à vapeur et de chaudières dites -à eau surchauffée-, n.d.a.</v>
      </c>
      <c r="C4807">
        <v>29032725</v>
      </c>
      <c r="D4807">
        <v>3561</v>
      </c>
    </row>
    <row r="4808" spans="1:4" x14ac:dyDescent="0.25">
      <c r="A4808" t="str">
        <f>T("   840310")</f>
        <v xml:space="preserve">   840310</v>
      </c>
      <c r="B4808" t="str">
        <f>T("   Chaudières pour le chauffage central, non-électriques (sauf chaudières à vapeur et chaudières dites -à eau surchauffée- du n° 8402)")</f>
        <v xml:space="preserve">   Chaudières pour le chauffage central, non-électriques (sauf chaudières à vapeur et chaudières dites -à eau surchauffée- du n° 8402)</v>
      </c>
      <c r="C4808">
        <v>10231008</v>
      </c>
      <c r="D4808">
        <v>2150</v>
      </c>
    </row>
    <row r="4809" spans="1:4" x14ac:dyDescent="0.25">
      <c r="A4809" t="str">
        <f>T("   840410")</f>
        <v xml:space="preserve">   840410</v>
      </c>
      <c r="B4809" t="str">
        <f>T("   Appareils auxiliaires pour chaudières du n° 8402 ou 8403 -économiseurs, surchauffeurs, appareils de ramonage ou de récupération des gaz, par exemple-")</f>
        <v xml:space="preserve">   Appareils auxiliaires pour chaudières du n° 8402 ou 8403 -économiseurs, surchauffeurs, appareils de ramonage ou de récupération des gaz, par exemple-</v>
      </c>
      <c r="C4809">
        <v>100000</v>
      </c>
      <c r="D4809">
        <v>18</v>
      </c>
    </row>
    <row r="4810" spans="1:4" x14ac:dyDescent="0.25">
      <c r="A4810" t="str">
        <f>T("   840590")</f>
        <v xml:space="preserve">   840590</v>
      </c>
      <c r="B4810"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4810">
        <v>50000</v>
      </c>
      <c r="D4810">
        <v>40</v>
      </c>
    </row>
    <row r="4811" spans="1:4" x14ac:dyDescent="0.25">
      <c r="A4811" t="str">
        <f>T("   840721")</f>
        <v xml:space="preserve">   840721</v>
      </c>
      <c r="B4811" t="s">
        <v>412</v>
      </c>
      <c r="C4811">
        <v>1339470</v>
      </c>
      <c r="D4811">
        <v>66</v>
      </c>
    </row>
    <row r="4812" spans="1:4" x14ac:dyDescent="0.25">
      <c r="A4812" t="str">
        <f>T("   840731")</f>
        <v xml:space="preserve">   840731</v>
      </c>
      <c r="B4812" t="str">
        <f>T("   Moteurs à piston alternatif à allumage par étincelles -moteurs à explosion-, des types utilisés pour la propulsion des véhicules du chapitre 87, cylindrée &lt;= 50 cm³")</f>
        <v xml:space="preserve">   Moteurs à piston alternatif à allumage par étincelles -moteurs à explosion-, des types utilisés pour la propulsion des véhicules du chapitre 87, cylindrée &lt;= 50 cm³</v>
      </c>
      <c r="C4812">
        <v>133698</v>
      </c>
      <c r="D4812">
        <v>3</v>
      </c>
    </row>
    <row r="4813" spans="1:4" x14ac:dyDescent="0.25">
      <c r="A4813" t="str">
        <f>T("   840790")</f>
        <v xml:space="preserve">   840790</v>
      </c>
      <c r="B4813" t="s">
        <v>414</v>
      </c>
      <c r="C4813">
        <v>5154422</v>
      </c>
      <c r="D4813">
        <v>2674</v>
      </c>
    </row>
    <row r="4814" spans="1:4" x14ac:dyDescent="0.25">
      <c r="A4814" t="str">
        <f>T("   840820")</f>
        <v xml:space="preserve">   840820</v>
      </c>
      <c r="B4814" t="s">
        <v>415</v>
      </c>
      <c r="C4814">
        <v>9731167</v>
      </c>
      <c r="D4814">
        <v>655</v>
      </c>
    </row>
    <row r="4815" spans="1:4" x14ac:dyDescent="0.25">
      <c r="A4815" t="str">
        <f>T("   840890")</f>
        <v xml:space="preserve">   840890</v>
      </c>
      <c r="B4815" t="s">
        <v>416</v>
      </c>
      <c r="C4815">
        <v>73878973</v>
      </c>
      <c r="D4815">
        <v>15460</v>
      </c>
    </row>
    <row r="4816" spans="1:4" x14ac:dyDescent="0.25">
      <c r="A4816" t="str">
        <f>T("   840910")</f>
        <v xml:space="preserve">   840910</v>
      </c>
      <c r="B4816" t="str">
        <f>T("   Parties reconnaissables comme étant exclusivement ou principalement destinées aux moteurs à piston pour l'aviation, n.d.a.")</f>
        <v xml:space="preserve">   Parties reconnaissables comme étant exclusivement ou principalement destinées aux moteurs à piston pour l'aviation, n.d.a.</v>
      </c>
      <c r="C4816">
        <v>427214</v>
      </c>
      <c r="D4816">
        <v>15</v>
      </c>
    </row>
    <row r="4817" spans="1:4" x14ac:dyDescent="0.25">
      <c r="A4817" t="str">
        <f>T("   840991")</f>
        <v xml:space="preserve">   840991</v>
      </c>
      <c r="B4817"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4817">
        <v>542139</v>
      </c>
      <c r="D4817">
        <v>60</v>
      </c>
    </row>
    <row r="4818" spans="1:4" x14ac:dyDescent="0.25">
      <c r="A4818" t="str">
        <f>T("   840999")</f>
        <v xml:space="preserve">   840999</v>
      </c>
      <c r="B481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4818">
        <v>105894796</v>
      </c>
      <c r="D4818">
        <v>17704.55</v>
      </c>
    </row>
    <row r="4819" spans="1:4" x14ac:dyDescent="0.25">
      <c r="A4819" t="str">
        <f>T("   841090")</f>
        <v xml:space="preserve">   841090</v>
      </c>
      <c r="B4819" t="str">
        <f>T("   Parties de turbines hydrauliques ou de roues hydrauliques, n.d.a., ainsi que les régulateurs pour turbines hydrauliques")</f>
        <v xml:space="preserve">   Parties de turbines hydrauliques ou de roues hydrauliques, n.d.a., ainsi que les régulateurs pour turbines hydrauliques</v>
      </c>
      <c r="C4819">
        <v>14011449</v>
      </c>
      <c r="D4819">
        <v>2190</v>
      </c>
    </row>
    <row r="4820" spans="1:4" x14ac:dyDescent="0.25">
      <c r="A4820" t="str">
        <f>T("   841121")</f>
        <v xml:space="preserve">   841121</v>
      </c>
      <c r="B4820" t="str">
        <f>T("   Turbopropulseurs, puissance &lt;= 1.100 kW")</f>
        <v xml:space="preserve">   Turbopropulseurs, puissance &lt;= 1.100 kW</v>
      </c>
      <c r="C4820">
        <v>42000</v>
      </c>
      <c r="D4820">
        <v>18</v>
      </c>
    </row>
    <row r="4821" spans="1:4" x14ac:dyDescent="0.25">
      <c r="A4821" t="str">
        <f>T("   841231")</f>
        <v xml:space="preserve">   841231</v>
      </c>
      <c r="B4821" t="str">
        <f>T("   Moteurs pneumatiques, à mouvement rectiligne -cylindres-")</f>
        <v xml:space="preserve">   Moteurs pneumatiques, à mouvement rectiligne -cylindres-</v>
      </c>
      <c r="C4821">
        <v>135784</v>
      </c>
      <c r="D4821">
        <v>22</v>
      </c>
    </row>
    <row r="4822" spans="1:4" x14ac:dyDescent="0.25">
      <c r="A4822" t="str">
        <f>T("   841239")</f>
        <v xml:space="preserve">   841239</v>
      </c>
      <c r="B4822" t="str">
        <f>T("   Moteurs pneumatiques (sauf moteurs pneumatiques à mouvement rectiligne -cylindres-)")</f>
        <v xml:space="preserve">   Moteurs pneumatiques (sauf moteurs pneumatiques à mouvement rectiligne -cylindres-)</v>
      </c>
      <c r="C4822">
        <v>2676534</v>
      </c>
      <c r="D4822">
        <v>63</v>
      </c>
    </row>
    <row r="4823" spans="1:4" x14ac:dyDescent="0.25">
      <c r="A4823" t="str">
        <f>T("   841280")</f>
        <v xml:space="preserve">   841280</v>
      </c>
      <c r="B4823"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4823">
        <v>4969887</v>
      </c>
      <c r="D4823">
        <v>7102.7</v>
      </c>
    </row>
    <row r="4824" spans="1:4" x14ac:dyDescent="0.25">
      <c r="A4824" t="str">
        <f>T("   841311")</f>
        <v xml:space="preserve">   841311</v>
      </c>
      <c r="B4824"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4824">
        <v>294441</v>
      </c>
      <c r="D4824">
        <v>11</v>
      </c>
    </row>
    <row r="4825" spans="1:4" x14ac:dyDescent="0.25">
      <c r="A4825" t="str">
        <f>T("   841319")</f>
        <v xml:space="preserve">   841319</v>
      </c>
      <c r="B4825"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4825">
        <v>413254</v>
      </c>
      <c r="D4825">
        <v>1894</v>
      </c>
    </row>
    <row r="4826" spans="1:4" x14ac:dyDescent="0.25">
      <c r="A4826" t="str">
        <f>T("   841330")</f>
        <v xml:space="preserve">   841330</v>
      </c>
      <c r="B4826"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4826">
        <v>28272186</v>
      </c>
      <c r="D4826">
        <v>1075.79</v>
      </c>
    </row>
    <row r="4827" spans="1:4" x14ac:dyDescent="0.25">
      <c r="A4827" t="str">
        <f>T("   841350")</f>
        <v xml:space="preserve">   841350</v>
      </c>
      <c r="B4827" t="s">
        <v>417</v>
      </c>
      <c r="C4827">
        <v>2565028</v>
      </c>
      <c r="D4827">
        <v>33</v>
      </c>
    </row>
    <row r="4828" spans="1:4" x14ac:dyDescent="0.25">
      <c r="A4828" t="str">
        <f>T("   841360")</f>
        <v xml:space="preserve">   841360</v>
      </c>
      <c r="B4828" t="s">
        <v>418</v>
      </c>
      <c r="C4828">
        <v>1424080</v>
      </c>
      <c r="D4828">
        <v>42</v>
      </c>
    </row>
    <row r="4829" spans="1:4" x14ac:dyDescent="0.25">
      <c r="A4829" t="str">
        <f>T("   841370")</f>
        <v xml:space="preserve">   841370</v>
      </c>
      <c r="B4829" t="s">
        <v>419</v>
      </c>
      <c r="C4829">
        <v>78239140</v>
      </c>
      <c r="D4829">
        <v>5174</v>
      </c>
    </row>
    <row r="4830" spans="1:4" x14ac:dyDescent="0.25">
      <c r="A4830" t="str">
        <f>T("   841381")</f>
        <v xml:space="preserve">   841381</v>
      </c>
      <c r="B4830" t="s">
        <v>420</v>
      </c>
      <c r="C4830">
        <v>261451991</v>
      </c>
      <c r="D4830">
        <v>27608</v>
      </c>
    </row>
    <row r="4831" spans="1:4" x14ac:dyDescent="0.25">
      <c r="A4831" t="str">
        <f>T("   841382")</f>
        <v xml:space="preserve">   841382</v>
      </c>
      <c r="B4831" t="str">
        <f>T("   Elévateurs à liquides (à l'excl. des pompes)")</f>
        <v xml:space="preserve">   Elévateurs à liquides (à l'excl. des pompes)</v>
      </c>
      <c r="C4831">
        <v>21711910</v>
      </c>
      <c r="D4831">
        <v>3360</v>
      </c>
    </row>
    <row r="4832" spans="1:4" x14ac:dyDescent="0.25">
      <c r="A4832" t="str">
        <f>T("   841391")</f>
        <v xml:space="preserve">   841391</v>
      </c>
      <c r="B4832" t="str">
        <f>T("   Parties de pompes pour liquides, n.d.a.")</f>
        <v xml:space="preserve">   Parties de pompes pour liquides, n.d.a.</v>
      </c>
      <c r="C4832">
        <v>29485712</v>
      </c>
      <c r="D4832">
        <v>508.3</v>
      </c>
    </row>
    <row r="4833" spans="1:4" x14ac:dyDescent="0.25">
      <c r="A4833" t="str">
        <f>T("   841392")</f>
        <v xml:space="preserve">   841392</v>
      </c>
      <c r="B4833" t="str">
        <f>T("   Parties d'élévateurs à liquides, n.d.a.")</f>
        <v xml:space="preserve">   Parties d'élévateurs à liquides, n.d.a.</v>
      </c>
      <c r="C4833">
        <v>3255005</v>
      </c>
      <c r="D4833">
        <v>348</v>
      </c>
    </row>
    <row r="4834" spans="1:4" x14ac:dyDescent="0.25">
      <c r="A4834" t="str">
        <f>T("   841410")</f>
        <v xml:space="preserve">   841410</v>
      </c>
      <c r="B4834" t="str">
        <f>T("   Pompes à vide")</f>
        <v xml:space="preserve">   Pompes à vide</v>
      </c>
      <c r="C4834">
        <v>18911450</v>
      </c>
      <c r="D4834">
        <v>1304.42</v>
      </c>
    </row>
    <row r="4835" spans="1:4" x14ac:dyDescent="0.25">
      <c r="A4835" t="str">
        <f>T("   841420")</f>
        <v xml:space="preserve">   841420</v>
      </c>
      <c r="B4835" t="str">
        <f>T("   Pompes à air, à main ou à pied")</f>
        <v xml:space="preserve">   Pompes à air, à main ou à pied</v>
      </c>
      <c r="C4835">
        <v>2697413</v>
      </c>
      <c r="D4835">
        <v>906</v>
      </c>
    </row>
    <row r="4836" spans="1:4" x14ac:dyDescent="0.25">
      <c r="A4836" t="str">
        <f>T("   841430")</f>
        <v xml:space="preserve">   841430</v>
      </c>
      <c r="B4836" t="str">
        <f>T("   Compresseurs des types utilisés pour équipements frigorifiques")</f>
        <v xml:space="preserve">   Compresseurs des types utilisés pour équipements frigorifiques</v>
      </c>
      <c r="C4836">
        <v>6442406</v>
      </c>
      <c r="D4836">
        <v>3952</v>
      </c>
    </row>
    <row r="4837" spans="1:4" x14ac:dyDescent="0.25">
      <c r="A4837" t="str">
        <f>T("   841440")</f>
        <v xml:space="preserve">   841440</v>
      </c>
      <c r="B4837" t="str">
        <f>T("   Compresseurs d'air montés sur châssis à roues et remorquables")</f>
        <v xml:space="preserve">   Compresseurs d'air montés sur châssis à roues et remorquables</v>
      </c>
      <c r="C4837">
        <v>106135292</v>
      </c>
      <c r="D4837">
        <v>9789</v>
      </c>
    </row>
    <row r="4838" spans="1:4" x14ac:dyDescent="0.25">
      <c r="A4838" t="str">
        <f>T("   841459")</f>
        <v xml:space="preserve">   841459</v>
      </c>
      <c r="B4838"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4838">
        <v>9209598</v>
      </c>
      <c r="D4838">
        <v>7886</v>
      </c>
    </row>
    <row r="4839" spans="1:4" x14ac:dyDescent="0.25">
      <c r="A4839" t="str">
        <f>T("   841460")</f>
        <v xml:space="preserve">   841460</v>
      </c>
      <c r="B4839"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4839">
        <v>169238</v>
      </c>
      <c r="D4839">
        <v>17</v>
      </c>
    </row>
    <row r="4840" spans="1:4" x14ac:dyDescent="0.25">
      <c r="A4840" t="str">
        <f>T("   841480")</f>
        <v xml:space="preserve">   841480</v>
      </c>
      <c r="B4840" t="s">
        <v>421</v>
      </c>
      <c r="C4840">
        <v>67996010</v>
      </c>
      <c r="D4840">
        <v>9828</v>
      </c>
    </row>
    <row r="4841" spans="1:4" x14ac:dyDescent="0.25">
      <c r="A4841" t="str">
        <f>T("   841490")</f>
        <v xml:space="preserve">   841490</v>
      </c>
      <c r="B484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4841">
        <v>206135520</v>
      </c>
      <c r="D4841">
        <v>15527</v>
      </c>
    </row>
    <row r="4842" spans="1:4" x14ac:dyDescent="0.25">
      <c r="A4842" t="str">
        <f>T("   841510")</f>
        <v xml:space="preserve">   841510</v>
      </c>
      <c r="B4842" t="s">
        <v>422</v>
      </c>
      <c r="C4842">
        <v>35215816</v>
      </c>
      <c r="D4842">
        <v>9663.18</v>
      </c>
    </row>
    <row r="4843" spans="1:4" x14ac:dyDescent="0.25">
      <c r="A4843" t="str">
        <f>T("   841582")</f>
        <v xml:space="preserve">   841582</v>
      </c>
      <c r="B4843" t="s">
        <v>424</v>
      </c>
      <c r="C4843">
        <v>109546</v>
      </c>
      <c r="D4843">
        <v>55</v>
      </c>
    </row>
    <row r="4844" spans="1:4" x14ac:dyDescent="0.25">
      <c r="A4844" t="str">
        <f>T("   841583")</f>
        <v xml:space="preserve">   841583</v>
      </c>
      <c r="B4844" t="s">
        <v>425</v>
      </c>
      <c r="C4844">
        <v>12626574</v>
      </c>
      <c r="D4844">
        <v>480</v>
      </c>
    </row>
    <row r="4845" spans="1:4" x14ac:dyDescent="0.25">
      <c r="A4845" t="str">
        <f>T("   841590")</f>
        <v xml:space="preserve">   841590</v>
      </c>
      <c r="B484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4845">
        <v>47235134</v>
      </c>
      <c r="D4845">
        <v>25629</v>
      </c>
    </row>
    <row r="4846" spans="1:4" x14ac:dyDescent="0.25">
      <c r="A4846" t="str">
        <f>T("   841620")</f>
        <v xml:space="preserve">   841620</v>
      </c>
      <c r="B4846" t="str">
        <f>T("   Brûleurs pour l'alimentation des foyers à combustibles solides pulvérisés ou à gaz, y.c. les brûleurs mixtes")</f>
        <v xml:space="preserve">   Brûleurs pour l'alimentation des foyers à combustibles solides pulvérisés ou à gaz, y.c. les brûleurs mixtes</v>
      </c>
      <c r="C4846">
        <v>273637</v>
      </c>
      <c r="D4846">
        <v>10</v>
      </c>
    </row>
    <row r="4847" spans="1:4" x14ac:dyDescent="0.25">
      <c r="A4847" t="str">
        <f>T("   841690")</f>
        <v xml:space="preserve">   841690</v>
      </c>
      <c r="B4847"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4847">
        <v>2567826</v>
      </c>
      <c r="D4847">
        <v>1</v>
      </c>
    </row>
    <row r="4848" spans="1:4" x14ac:dyDescent="0.25">
      <c r="A4848" t="str">
        <f>T("   841780")</f>
        <v xml:space="preserve">   841780</v>
      </c>
      <c r="B4848" t="s">
        <v>426</v>
      </c>
      <c r="C4848">
        <v>1975043</v>
      </c>
      <c r="D4848">
        <v>1060</v>
      </c>
    </row>
    <row r="4849" spans="1:4" x14ac:dyDescent="0.25">
      <c r="A4849" t="str">
        <f>T("   841790")</f>
        <v xml:space="preserve">   841790</v>
      </c>
      <c r="B4849" t="str">
        <f>T("   Parties de fours industriels ou de laboratoire non-électriques, y.c. d'incinérateurs, n.d.a.")</f>
        <v xml:space="preserve">   Parties de fours industriels ou de laboratoire non-électriques, y.c. d'incinérateurs, n.d.a.</v>
      </c>
      <c r="C4849">
        <v>10122692</v>
      </c>
      <c r="D4849">
        <v>815</v>
      </c>
    </row>
    <row r="4850" spans="1:4" x14ac:dyDescent="0.25">
      <c r="A4850" t="str">
        <f>T("   841810")</f>
        <v xml:space="preserve">   841810</v>
      </c>
      <c r="B4850" t="str">
        <f>T("   Réfrigérateurs et congélateurs-conservateurs combinés, avec portes extérieures séparées")</f>
        <v xml:space="preserve">   Réfrigérateurs et congélateurs-conservateurs combinés, avec portes extérieures séparées</v>
      </c>
      <c r="C4850">
        <v>109237561</v>
      </c>
      <c r="D4850">
        <v>161317</v>
      </c>
    </row>
    <row r="4851" spans="1:4" x14ac:dyDescent="0.25">
      <c r="A4851" t="str">
        <f>T("   841821")</f>
        <v xml:space="preserve">   841821</v>
      </c>
      <c r="B4851" t="str">
        <f>T("   Réfrigérateurs ménagers à compression")</f>
        <v xml:space="preserve">   Réfrigérateurs ménagers à compression</v>
      </c>
      <c r="C4851">
        <v>3179369</v>
      </c>
      <c r="D4851">
        <v>13094</v>
      </c>
    </row>
    <row r="4852" spans="1:4" x14ac:dyDescent="0.25">
      <c r="A4852" t="str">
        <f>T("   841822")</f>
        <v xml:space="preserve">   841822</v>
      </c>
      <c r="B4852" t="str">
        <f>T("   Réfrigérateurs ménagers à absorption, électriques")</f>
        <v xml:space="preserve">   Réfrigérateurs ménagers à absorption, électriques</v>
      </c>
      <c r="C4852">
        <v>739923</v>
      </c>
      <c r="D4852">
        <v>7054</v>
      </c>
    </row>
    <row r="4853" spans="1:4" x14ac:dyDescent="0.25">
      <c r="A4853" t="str">
        <f>T("   841829")</f>
        <v xml:space="preserve">   841829</v>
      </c>
      <c r="B4853" t="str">
        <f>T("   Réfrigérateurs ménagers à absorption, non-électriques")</f>
        <v xml:space="preserve">   Réfrigérateurs ménagers à absorption, non-électriques</v>
      </c>
      <c r="C4853">
        <v>47168276</v>
      </c>
      <c r="D4853">
        <v>120445.95</v>
      </c>
    </row>
    <row r="4854" spans="1:4" x14ac:dyDescent="0.25">
      <c r="A4854" t="str">
        <f>T("   841830")</f>
        <v xml:space="preserve">   841830</v>
      </c>
      <c r="B4854" t="str">
        <f>T("   Meubles congélateurs-conservateurs du type coffre, capacité &lt;= 800 l")</f>
        <v xml:space="preserve">   Meubles congélateurs-conservateurs du type coffre, capacité &lt;= 800 l</v>
      </c>
      <c r="C4854">
        <v>3477539</v>
      </c>
      <c r="D4854">
        <v>2400</v>
      </c>
    </row>
    <row r="4855" spans="1:4" x14ac:dyDescent="0.25">
      <c r="A4855" t="str">
        <f>T("   841840")</f>
        <v xml:space="preserve">   841840</v>
      </c>
      <c r="B4855" t="str">
        <f>T("   Meubles congélateurs-conservateurs du type armoire, capacité &lt;= 900 l")</f>
        <v xml:space="preserve">   Meubles congélateurs-conservateurs du type armoire, capacité &lt;= 900 l</v>
      </c>
      <c r="C4855">
        <v>3576192</v>
      </c>
      <c r="D4855">
        <v>2895</v>
      </c>
    </row>
    <row r="4856" spans="1:4" x14ac:dyDescent="0.25">
      <c r="A4856" t="str">
        <f>T("   841850")</f>
        <v xml:space="preserve">   841850</v>
      </c>
      <c r="B4856" t="s">
        <v>427</v>
      </c>
      <c r="C4856">
        <v>52204040</v>
      </c>
      <c r="D4856">
        <v>13708</v>
      </c>
    </row>
    <row r="4857" spans="1:4" x14ac:dyDescent="0.25">
      <c r="A4857" t="str">
        <f>T("   841861")</f>
        <v xml:space="preserve">   841861</v>
      </c>
      <c r="B4857" t="str">
        <f>T("   Groupes à compression pour la production du froid, dont le condenseur est constitué par un échangeur de chaleur")</f>
        <v xml:space="preserve">   Groupes à compression pour la production du froid, dont le condenseur est constitué par un échangeur de chaleur</v>
      </c>
      <c r="C4857">
        <v>467042864</v>
      </c>
      <c r="D4857">
        <v>40872</v>
      </c>
    </row>
    <row r="4858" spans="1:4" x14ac:dyDescent="0.25">
      <c r="A4858" t="str">
        <f>T("   841869")</f>
        <v xml:space="preserve">   841869</v>
      </c>
      <c r="B485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4858">
        <v>157448175</v>
      </c>
      <c r="D4858">
        <v>11191</v>
      </c>
    </row>
    <row r="4859" spans="1:4" x14ac:dyDescent="0.25">
      <c r="A4859" t="str">
        <f>T("   841891")</f>
        <v xml:space="preserve">   841891</v>
      </c>
      <c r="B4859" t="str">
        <f>T("   Meubles conçus pour recevoir un équipement pour la production du froid")</f>
        <v xml:space="preserve">   Meubles conçus pour recevoir un équipement pour la production du froid</v>
      </c>
      <c r="C4859">
        <v>7973699</v>
      </c>
      <c r="D4859">
        <v>1023.87</v>
      </c>
    </row>
    <row r="4860" spans="1:4" x14ac:dyDescent="0.25">
      <c r="A4860" t="str">
        <f>T("   841899")</f>
        <v xml:space="preserve">   841899</v>
      </c>
      <c r="B4860"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4860">
        <v>406807876</v>
      </c>
      <c r="D4860">
        <v>34342</v>
      </c>
    </row>
    <row r="4861" spans="1:4" x14ac:dyDescent="0.25">
      <c r="A4861" t="str">
        <f>T("   841920")</f>
        <v xml:space="preserve">   841920</v>
      </c>
      <c r="B4861" t="str">
        <f>T("   Stérilisateurs médico-chirurgicaux ou de laboratoire")</f>
        <v xml:space="preserve">   Stérilisateurs médico-chirurgicaux ou de laboratoire</v>
      </c>
      <c r="C4861">
        <v>1788702</v>
      </c>
      <c r="D4861">
        <v>273</v>
      </c>
    </row>
    <row r="4862" spans="1:4" x14ac:dyDescent="0.25">
      <c r="A4862" t="str">
        <f>T("   841939")</f>
        <v xml:space="preserve">   841939</v>
      </c>
      <c r="B4862"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4862">
        <v>3160606</v>
      </c>
      <c r="D4862">
        <v>214</v>
      </c>
    </row>
    <row r="4863" spans="1:4" x14ac:dyDescent="0.25">
      <c r="A4863" t="str">
        <f>T("   841950")</f>
        <v xml:space="preserve">   841950</v>
      </c>
      <c r="B4863"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4863">
        <v>8744283</v>
      </c>
      <c r="D4863">
        <v>312</v>
      </c>
    </row>
    <row r="4864" spans="1:4" x14ac:dyDescent="0.25">
      <c r="A4864" t="str">
        <f>T("   841989")</f>
        <v xml:space="preserve">   841989</v>
      </c>
      <c r="B4864" t="s">
        <v>428</v>
      </c>
      <c r="C4864">
        <v>333885203</v>
      </c>
      <c r="D4864">
        <v>41588</v>
      </c>
    </row>
    <row r="4865" spans="1:4" x14ac:dyDescent="0.25">
      <c r="A4865" t="str">
        <f>T("   841990")</f>
        <v xml:space="preserve">   841990</v>
      </c>
      <c r="B4865"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4865">
        <v>8418591</v>
      </c>
      <c r="D4865">
        <v>842</v>
      </c>
    </row>
    <row r="4866" spans="1:4" x14ac:dyDescent="0.25">
      <c r="A4866" t="str">
        <f>T("   842112")</f>
        <v xml:space="preserve">   842112</v>
      </c>
      <c r="B4866" t="str">
        <f>T("   Essoreuses à linge centrifuges")</f>
        <v xml:space="preserve">   Essoreuses à linge centrifuges</v>
      </c>
      <c r="C4866">
        <v>1006308</v>
      </c>
      <c r="D4866">
        <v>129.21</v>
      </c>
    </row>
    <row r="4867" spans="1:4" x14ac:dyDescent="0.25">
      <c r="A4867" t="str">
        <f>T("   842119")</f>
        <v xml:space="preserve">   842119</v>
      </c>
      <c r="B4867"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4867">
        <v>16891100</v>
      </c>
      <c r="D4867">
        <v>418</v>
      </c>
    </row>
    <row r="4868" spans="1:4" x14ac:dyDescent="0.25">
      <c r="A4868" t="str">
        <f>T("   842121")</f>
        <v xml:space="preserve">   842121</v>
      </c>
      <c r="B4868" t="str">
        <f>T("   Appareils pour la filtration ou l'épuration des eaux")</f>
        <v xml:space="preserve">   Appareils pour la filtration ou l'épuration des eaux</v>
      </c>
      <c r="C4868">
        <v>56909823</v>
      </c>
      <c r="D4868">
        <v>2974.55</v>
      </c>
    </row>
    <row r="4869" spans="1:4" x14ac:dyDescent="0.25">
      <c r="A4869" t="str">
        <f>T("   842122")</f>
        <v xml:space="preserve">   842122</v>
      </c>
      <c r="B4869" t="str">
        <f>T("   Appareils pour la filtration ou l'épuration des boissons (autres que l'eau)")</f>
        <v xml:space="preserve">   Appareils pour la filtration ou l'épuration des boissons (autres que l'eau)</v>
      </c>
      <c r="C4869">
        <v>2672515</v>
      </c>
      <c r="D4869">
        <v>2000</v>
      </c>
    </row>
    <row r="4870" spans="1:4" x14ac:dyDescent="0.25">
      <c r="A4870" t="str">
        <f>T("   842123")</f>
        <v xml:space="preserve">   842123</v>
      </c>
      <c r="B487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4870">
        <v>133673190</v>
      </c>
      <c r="D4870">
        <v>20107.599999999999</v>
      </c>
    </row>
    <row r="4871" spans="1:4" x14ac:dyDescent="0.25">
      <c r="A4871" t="str">
        <f>T("   842129")</f>
        <v xml:space="preserve">   842129</v>
      </c>
      <c r="B4871"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4871">
        <v>74334619</v>
      </c>
      <c r="D4871">
        <v>21796.3</v>
      </c>
    </row>
    <row r="4872" spans="1:4" x14ac:dyDescent="0.25">
      <c r="A4872" t="str">
        <f>T("   842131")</f>
        <v xml:space="preserve">   842131</v>
      </c>
      <c r="B4872" t="str">
        <f>T("   Filtres d'entrée d'air pour moteurs à allumage par étincelles ou par compression")</f>
        <v xml:space="preserve">   Filtres d'entrée d'air pour moteurs à allumage par étincelles ou par compression</v>
      </c>
      <c r="C4872">
        <v>20349034</v>
      </c>
      <c r="D4872">
        <v>3573</v>
      </c>
    </row>
    <row r="4873" spans="1:4" x14ac:dyDescent="0.25">
      <c r="A4873" t="str">
        <f>T("   842139")</f>
        <v xml:space="preserve">   842139</v>
      </c>
      <c r="B4873"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4873">
        <v>87038193</v>
      </c>
      <c r="D4873">
        <v>9410.7999999999993</v>
      </c>
    </row>
    <row r="4874" spans="1:4" x14ac:dyDescent="0.25">
      <c r="A4874" t="str">
        <f>T("   842191")</f>
        <v xml:space="preserve">   842191</v>
      </c>
      <c r="B4874" t="str">
        <f>T("   Parties de centrifugeuses, y.c. d'essoreuses centrifuges, n.d.a.")</f>
        <v xml:space="preserve">   Parties de centrifugeuses, y.c. d'essoreuses centrifuges, n.d.a.</v>
      </c>
      <c r="C4874">
        <v>1241237</v>
      </c>
      <c r="D4874">
        <v>3096</v>
      </c>
    </row>
    <row r="4875" spans="1:4" x14ac:dyDescent="0.25">
      <c r="A4875" t="str">
        <f>T("   842199")</f>
        <v xml:space="preserve">   842199</v>
      </c>
      <c r="B4875" t="str">
        <f>T("   Parties d'appareils pour la filtration ou l'épuration des liquides ou des gaz, n.d.a.")</f>
        <v xml:space="preserve">   Parties d'appareils pour la filtration ou l'épuration des liquides ou des gaz, n.d.a.</v>
      </c>
      <c r="C4875">
        <v>122108536</v>
      </c>
      <c r="D4875">
        <v>11400.5</v>
      </c>
    </row>
    <row r="4876" spans="1:4" x14ac:dyDescent="0.25">
      <c r="A4876" t="str">
        <f>T("   842211")</f>
        <v xml:space="preserve">   842211</v>
      </c>
      <c r="B4876" t="str">
        <f>T("   Machines à laver la vaisselle, de type ménager")</f>
        <v xml:space="preserve">   Machines à laver la vaisselle, de type ménager</v>
      </c>
      <c r="C4876">
        <v>4082696</v>
      </c>
      <c r="D4876">
        <v>1820</v>
      </c>
    </row>
    <row r="4877" spans="1:4" x14ac:dyDescent="0.25">
      <c r="A4877" t="str">
        <f>T("   842219")</f>
        <v xml:space="preserve">   842219</v>
      </c>
      <c r="B4877" t="str">
        <f>T("   Machines à laver la vaisselle (autres que de type ménager)")</f>
        <v xml:space="preserve">   Machines à laver la vaisselle (autres que de type ménager)</v>
      </c>
      <c r="C4877">
        <v>11419607</v>
      </c>
      <c r="D4877">
        <v>1154</v>
      </c>
    </row>
    <row r="4878" spans="1:4" x14ac:dyDescent="0.25">
      <c r="A4878" t="str">
        <f>T("   842220")</f>
        <v xml:space="preserve">   842220</v>
      </c>
      <c r="B4878"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4878">
        <v>2983626</v>
      </c>
      <c r="D4878">
        <v>332</v>
      </c>
    </row>
    <row r="4879" spans="1:4" x14ac:dyDescent="0.25">
      <c r="A4879" t="str">
        <f>T("   842230")</f>
        <v xml:space="preserve">   842230</v>
      </c>
      <c r="B4879"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4879">
        <v>364706092</v>
      </c>
      <c r="D4879">
        <v>24609</v>
      </c>
    </row>
    <row r="4880" spans="1:4" x14ac:dyDescent="0.25">
      <c r="A4880" t="str">
        <f>T("   842240")</f>
        <v xml:space="preserve">   842240</v>
      </c>
      <c r="B4880" t="s">
        <v>429</v>
      </c>
      <c r="C4880">
        <v>150000</v>
      </c>
      <c r="D4880">
        <v>94</v>
      </c>
    </row>
    <row r="4881" spans="1:4" x14ac:dyDescent="0.25">
      <c r="A4881" t="str">
        <f>T("   842290")</f>
        <v xml:space="preserve">   842290</v>
      </c>
      <c r="B488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4881">
        <v>1257138224</v>
      </c>
      <c r="D4881">
        <v>37017.599999999999</v>
      </c>
    </row>
    <row r="4882" spans="1:4" x14ac:dyDescent="0.25">
      <c r="A4882" t="str">
        <f>T("   842310")</f>
        <v xml:space="preserve">   842310</v>
      </c>
      <c r="B4882" t="str">
        <f>T("   Pèse-personnes, y.c. les pèse-bébés; balances de ménage")</f>
        <v xml:space="preserve">   Pèse-personnes, y.c. les pèse-bébés; balances de ménage</v>
      </c>
      <c r="C4882">
        <v>9478951</v>
      </c>
      <c r="D4882">
        <v>2004</v>
      </c>
    </row>
    <row r="4883" spans="1:4" x14ac:dyDescent="0.25">
      <c r="A4883" t="str">
        <f>T("   842330")</f>
        <v xml:space="preserve">   842330</v>
      </c>
      <c r="B4883"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4883">
        <v>5752113</v>
      </c>
      <c r="D4883">
        <v>580</v>
      </c>
    </row>
    <row r="4884" spans="1:4" x14ac:dyDescent="0.25">
      <c r="A4884" t="str">
        <f>T("   842382")</f>
        <v xml:space="preserve">   842382</v>
      </c>
      <c r="B4884"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4884">
        <v>3357203</v>
      </c>
      <c r="D4884">
        <v>176</v>
      </c>
    </row>
    <row r="4885" spans="1:4" x14ac:dyDescent="0.25">
      <c r="A4885" t="str">
        <f>T("   842389")</f>
        <v xml:space="preserve">   842389</v>
      </c>
      <c r="B4885" t="str">
        <f>T("   Appareils et instruments de pesage, portée &gt; 5000 kg")</f>
        <v xml:space="preserve">   Appareils et instruments de pesage, portée &gt; 5000 kg</v>
      </c>
      <c r="C4885">
        <v>153986610</v>
      </c>
      <c r="D4885">
        <v>11555</v>
      </c>
    </row>
    <row r="4886" spans="1:4" x14ac:dyDescent="0.25">
      <c r="A4886" t="str">
        <f>T("   842390")</f>
        <v xml:space="preserve">   842390</v>
      </c>
      <c r="B4886" t="str">
        <f>T("   Poids pour balances de tous genres; parties d'appareils et instruments de pesage, n.d.a.")</f>
        <v xml:space="preserve">   Poids pour balances de tous genres; parties d'appareils et instruments de pesage, n.d.a.</v>
      </c>
      <c r="C4886">
        <v>574219556</v>
      </c>
      <c r="D4886">
        <v>101507.6</v>
      </c>
    </row>
    <row r="4887" spans="1:4" x14ac:dyDescent="0.25">
      <c r="A4887" t="str">
        <f>T("   842410")</f>
        <v xml:space="preserve">   842410</v>
      </c>
      <c r="B4887" t="str">
        <f>T("   Extincteurs mécaniques, même chargés (sauf bombes et grenades d'extinction d'incendie)")</f>
        <v xml:space="preserve">   Extincteurs mécaniques, même chargés (sauf bombes et grenades d'extinction d'incendie)</v>
      </c>
      <c r="C4887">
        <v>52047789</v>
      </c>
      <c r="D4887">
        <v>18660</v>
      </c>
    </row>
    <row r="4888" spans="1:4" x14ac:dyDescent="0.25">
      <c r="A4888" t="str">
        <f>T("   842420")</f>
        <v xml:space="preserve">   842420</v>
      </c>
      <c r="B4888" t="s">
        <v>430</v>
      </c>
      <c r="C4888">
        <v>1537426</v>
      </c>
      <c r="D4888">
        <v>115</v>
      </c>
    </row>
    <row r="4889" spans="1:4" x14ac:dyDescent="0.25">
      <c r="A4889" t="str">
        <f>T("   842430")</f>
        <v xml:space="preserve">   842430</v>
      </c>
      <c r="B4889" t="s">
        <v>431</v>
      </c>
      <c r="C4889">
        <v>35944658</v>
      </c>
      <c r="D4889">
        <v>1751</v>
      </c>
    </row>
    <row r="4890" spans="1:4" x14ac:dyDescent="0.25">
      <c r="A4890" t="str">
        <f>T("   842481")</f>
        <v xml:space="preserve">   842481</v>
      </c>
      <c r="B4890"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4890">
        <v>4612719</v>
      </c>
      <c r="D4890">
        <v>1110</v>
      </c>
    </row>
    <row r="4891" spans="1:4" x14ac:dyDescent="0.25">
      <c r="A4891" t="str">
        <f>T("   842489")</f>
        <v xml:space="preserve">   842489</v>
      </c>
      <c r="B4891"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4891">
        <v>177110</v>
      </c>
      <c r="D4891">
        <v>68</v>
      </c>
    </row>
    <row r="4892" spans="1:4" x14ac:dyDescent="0.25">
      <c r="A4892" t="str">
        <f>T("   842490")</f>
        <v xml:space="preserve">   842490</v>
      </c>
      <c r="B4892" t="s">
        <v>432</v>
      </c>
      <c r="C4892">
        <v>9719936</v>
      </c>
      <c r="D4892">
        <v>3048</v>
      </c>
    </row>
    <row r="4893" spans="1:4" x14ac:dyDescent="0.25">
      <c r="A4893" t="str">
        <f>T("   842511")</f>
        <v xml:space="preserve">   842511</v>
      </c>
      <c r="B4893" t="str">
        <f>T("   Palans à moteur électrique")</f>
        <v xml:space="preserve">   Palans à moteur électrique</v>
      </c>
      <c r="C4893">
        <v>32616011</v>
      </c>
      <c r="D4893">
        <v>6969</v>
      </c>
    </row>
    <row r="4894" spans="1:4" x14ac:dyDescent="0.25">
      <c r="A4894" t="str">
        <f>T("   842519")</f>
        <v xml:space="preserve">   842519</v>
      </c>
      <c r="B4894" t="str">
        <f>T("   Palans autres qu'à moteur électrique")</f>
        <v xml:space="preserve">   Palans autres qu'à moteur électrique</v>
      </c>
      <c r="C4894">
        <v>1512643</v>
      </c>
      <c r="D4894">
        <v>1165</v>
      </c>
    </row>
    <row r="4895" spans="1:4" x14ac:dyDescent="0.25">
      <c r="A4895" t="str">
        <f>T("   842531")</f>
        <v xml:space="preserve">   842531</v>
      </c>
      <c r="B4895" t="str">
        <f>T("   Treuils et cabestans, à moteur électrique (sauf treuils pour puits de mines et treuils spécialement conçus pour mines au fond)")</f>
        <v xml:space="preserve">   Treuils et cabestans, à moteur électrique (sauf treuils pour puits de mines et treuils spécialement conçus pour mines au fond)</v>
      </c>
      <c r="C4895">
        <v>5396285</v>
      </c>
      <c r="D4895">
        <v>4064</v>
      </c>
    </row>
    <row r="4896" spans="1:4" x14ac:dyDescent="0.25">
      <c r="A4896" t="str">
        <f>T("   842539")</f>
        <v xml:space="preserve">   842539</v>
      </c>
      <c r="B4896"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4896">
        <v>1237468</v>
      </c>
      <c r="D4896">
        <v>16</v>
      </c>
    </row>
    <row r="4897" spans="1:4" x14ac:dyDescent="0.25">
      <c r="A4897" t="str">
        <f>T("   842542")</f>
        <v xml:space="preserve">   842542</v>
      </c>
      <c r="B4897" t="str">
        <f>T("   Crics et vérins, hydrauliques (sauf élévateurs fixes des types utilisés dans les garages pour voitures)")</f>
        <v xml:space="preserve">   Crics et vérins, hydrauliques (sauf élévateurs fixes des types utilisés dans les garages pour voitures)</v>
      </c>
      <c r="C4897">
        <v>29124801</v>
      </c>
      <c r="D4897">
        <v>2259</v>
      </c>
    </row>
    <row r="4898" spans="1:4" x14ac:dyDescent="0.25">
      <c r="A4898" t="str">
        <f>T("   842549")</f>
        <v xml:space="preserve">   842549</v>
      </c>
      <c r="B4898" t="str">
        <f>T("   Crics et vérins, non hydrauliques")</f>
        <v xml:space="preserve">   Crics et vérins, non hydrauliques</v>
      </c>
      <c r="C4898">
        <v>35828571</v>
      </c>
      <c r="D4898">
        <v>5347</v>
      </c>
    </row>
    <row r="4899" spans="1:4" x14ac:dyDescent="0.25">
      <c r="A4899" t="str">
        <f>T("   842611")</f>
        <v xml:space="preserve">   842611</v>
      </c>
      <c r="B4899" t="str">
        <f>T("   Ponts roulants et poutres roulantes sur supports fixes")</f>
        <v xml:space="preserve">   Ponts roulants et poutres roulantes sur supports fixes</v>
      </c>
      <c r="C4899">
        <v>26487008</v>
      </c>
      <c r="D4899">
        <v>6890</v>
      </c>
    </row>
    <row r="4900" spans="1:4" x14ac:dyDescent="0.25">
      <c r="A4900" t="str">
        <f>T("   842619")</f>
        <v xml:space="preserve">   842619</v>
      </c>
      <c r="B4900" t="str">
        <f>T("   Ponts roulants, grues portiques, portiques de déchargement et ponts-grues (à l'excl. des ponts roulants et poutres roulantes sur supports fixes, portiques mobiles sur pneumatiques, chariots-cavaliers et grues sur portiques)")</f>
        <v xml:space="preserve">   Ponts roulants, grues portiques, portiques de déchargement et ponts-grues (à l'excl. des ponts roulants et poutres roulantes sur supports fixes, portiques mobiles sur pneumatiques, chariots-cavaliers et grues sur portiques)</v>
      </c>
      <c r="C4900">
        <v>102424874</v>
      </c>
      <c r="D4900">
        <v>27850</v>
      </c>
    </row>
    <row r="4901" spans="1:4" x14ac:dyDescent="0.25">
      <c r="A4901" t="str">
        <f>T("   842630")</f>
        <v xml:space="preserve">   842630</v>
      </c>
      <c r="B4901" t="str">
        <f>T("   Grues sur portiques")</f>
        <v xml:space="preserve">   Grues sur portiques</v>
      </c>
      <c r="C4901">
        <v>14013547672</v>
      </c>
      <c r="D4901">
        <v>4110000</v>
      </c>
    </row>
    <row r="4902" spans="1:4" x14ac:dyDescent="0.25">
      <c r="A4902" t="str">
        <f>T("   842649")</f>
        <v xml:space="preserve">   842649</v>
      </c>
      <c r="B4902" t="str">
        <f>T("   Bigues et chariots-grues et appareils autopropulsés (autres que sur pneumatiques et sauf chariots-cavaliers)")</f>
        <v xml:space="preserve">   Bigues et chariots-grues et appareils autopropulsés (autres que sur pneumatiques et sauf chariots-cavaliers)</v>
      </c>
      <c r="C4902">
        <v>1047417906</v>
      </c>
      <c r="D4902">
        <v>297100</v>
      </c>
    </row>
    <row r="4903" spans="1:4" x14ac:dyDescent="0.25">
      <c r="A4903" t="str">
        <f>T("   842720")</f>
        <v xml:space="preserve">   842720</v>
      </c>
      <c r="B4903" t="str">
        <f>T("   Chariots de manutention autopropulsés, autres qu'à moteur électrique, avec dispositif de levage")</f>
        <v xml:space="preserve">   Chariots de manutention autopropulsés, autres qu'à moteur électrique, avec dispositif de levage</v>
      </c>
      <c r="C4903">
        <v>75217621</v>
      </c>
      <c r="D4903">
        <v>14002</v>
      </c>
    </row>
    <row r="4904" spans="1:4" x14ac:dyDescent="0.25">
      <c r="A4904" t="str">
        <f>T("   842790")</f>
        <v xml:space="preserve">   842790</v>
      </c>
      <c r="B4904" t="str">
        <f>T("   Chariots de manutention munis d'un dispositif de levage mais non autopropulsés")</f>
        <v xml:space="preserve">   Chariots de manutention munis d'un dispositif de levage mais non autopropulsés</v>
      </c>
      <c r="C4904">
        <v>354563420</v>
      </c>
      <c r="D4904">
        <v>127057</v>
      </c>
    </row>
    <row r="4905" spans="1:4" x14ac:dyDescent="0.25">
      <c r="A4905" t="str">
        <f>T("   842810")</f>
        <v xml:space="preserve">   842810</v>
      </c>
      <c r="B4905" t="str">
        <f>T("   Ascenseurs et monte-charge")</f>
        <v xml:space="preserve">   Ascenseurs et monte-charge</v>
      </c>
      <c r="C4905">
        <v>163218726</v>
      </c>
      <c r="D4905">
        <v>50674</v>
      </c>
    </row>
    <row r="4906" spans="1:4" x14ac:dyDescent="0.25">
      <c r="A4906" t="str">
        <f>T("   842820")</f>
        <v xml:space="preserve">   842820</v>
      </c>
      <c r="B4906" t="str">
        <f>T("   Appareils élévateurs ou transporteurs, pneumatiques")</f>
        <v xml:space="preserve">   Appareils élévateurs ou transporteurs, pneumatiques</v>
      </c>
      <c r="C4906">
        <v>55574</v>
      </c>
      <c r="D4906">
        <v>18</v>
      </c>
    </row>
    <row r="4907" spans="1:4" x14ac:dyDescent="0.25">
      <c r="A4907" t="str">
        <f>T("   842832")</f>
        <v xml:space="preserve">   842832</v>
      </c>
      <c r="B4907" t="str">
        <f>T("   Appareils élévateurs, transporteurs ou convoyeurs pour marchandises, à action continue, à benne (autres que conçus pour mines au fond ou autres travaux souterrains)")</f>
        <v xml:space="preserve">   Appareils élévateurs, transporteurs ou convoyeurs pour marchandises, à action continue, à benne (autres que conçus pour mines au fond ou autres travaux souterrains)</v>
      </c>
      <c r="C4907">
        <v>7336913</v>
      </c>
      <c r="D4907">
        <v>751</v>
      </c>
    </row>
    <row r="4908" spans="1:4" x14ac:dyDescent="0.25">
      <c r="A4908" t="str">
        <f>T("   842839")</f>
        <v xml:space="preserve">   842839</v>
      </c>
      <c r="B490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4908">
        <v>524209810</v>
      </c>
      <c r="D4908">
        <v>141528</v>
      </c>
    </row>
    <row r="4909" spans="1:4" x14ac:dyDescent="0.25">
      <c r="A4909" t="str">
        <f>T("   842890")</f>
        <v xml:space="preserve">   842890</v>
      </c>
      <c r="B4909" t="str">
        <f>T("   Machines et appareils de levage, chargement, déchargement ou manutention, n.d.a.")</f>
        <v xml:space="preserve">   Machines et appareils de levage, chargement, déchargement ou manutention, n.d.a.</v>
      </c>
      <c r="C4909">
        <v>91066854</v>
      </c>
      <c r="D4909">
        <v>16204</v>
      </c>
    </row>
    <row r="4910" spans="1:4" x14ac:dyDescent="0.25">
      <c r="A4910" t="str">
        <f>T("   842911")</f>
        <v xml:space="preserve">   842911</v>
      </c>
      <c r="B4910" t="str">
        <f>T("   Bouteurs 'bulldozers' et bouteurs biais 'angledozers', à chenilles")</f>
        <v xml:space="preserve">   Bouteurs 'bulldozers' et bouteurs biais 'angledozers', à chenilles</v>
      </c>
      <c r="C4910">
        <v>8893506</v>
      </c>
      <c r="D4910">
        <v>21000</v>
      </c>
    </row>
    <row r="4911" spans="1:4" x14ac:dyDescent="0.25">
      <c r="A4911" t="str">
        <f>T("   842920")</f>
        <v xml:space="preserve">   842920</v>
      </c>
      <c r="B4911" t="str">
        <f>T("   Niveleuses autopropulsées")</f>
        <v xml:space="preserve">   Niveleuses autopropulsées</v>
      </c>
      <c r="C4911">
        <v>20000000</v>
      </c>
      <c r="D4911">
        <v>9500</v>
      </c>
    </row>
    <row r="4912" spans="1:4" x14ac:dyDescent="0.25">
      <c r="A4912" t="str">
        <f>T("   842940")</f>
        <v xml:space="preserve">   842940</v>
      </c>
      <c r="B4912" t="str">
        <f>T("   Rouleaux compresseurs et autres compacteuses, autopropulsés")</f>
        <v xml:space="preserve">   Rouleaux compresseurs et autres compacteuses, autopropulsés</v>
      </c>
      <c r="C4912">
        <v>125000</v>
      </c>
      <c r="D4912">
        <v>500</v>
      </c>
    </row>
    <row r="4913" spans="1:4" x14ac:dyDescent="0.25">
      <c r="A4913" t="str">
        <f>T("   842951")</f>
        <v xml:space="preserve">   842951</v>
      </c>
      <c r="B4913" t="str">
        <f>T("   Chargeuses et chargeuses-pelleteuses, à chargement frontal, autopropulsées")</f>
        <v xml:space="preserve">   Chargeuses et chargeuses-pelleteuses, à chargement frontal, autopropulsées</v>
      </c>
      <c r="C4913">
        <v>373862419</v>
      </c>
      <c r="D4913">
        <v>193990</v>
      </c>
    </row>
    <row r="4914" spans="1:4" x14ac:dyDescent="0.25">
      <c r="A4914" t="str">
        <f>T("   842952")</f>
        <v xml:space="preserve">   842952</v>
      </c>
      <c r="B4914" t="str">
        <f>T("   Pelles mécaniques, autopropulsées, dont la superstructure peut effectuer une rotation de 360°")</f>
        <v xml:space="preserve">   Pelles mécaniques, autopropulsées, dont la superstructure peut effectuer une rotation de 360°</v>
      </c>
      <c r="C4914">
        <v>7871520</v>
      </c>
      <c r="D4914">
        <v>20000</v>
      </c>
    </row>
    <row r="4915" spans="1:4" x14ac:dyDescent="0.25">
      <c r="A4915" t="str">
        <f>T("   842959")</f>
        <v xml:space="preserve">   842959</v>
      </c>
      <c r="B491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4915">
        <v>626802663</v>
      </c>
      <c r="D4915">
        <v>301200</v>
      </c>
    </row>
    <row r="4916" spans="1:4" x14ac:dyDescent="0.25">
      <c r="A4916" t="str">
        <f>T("   843049")</f>
        <v xml:space="preserve">   843049</v>
      </c>
      <c r="B4916"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4916">
        <v>20327444</v>
      </c>
      <c r="D4916">
        <v>197</v>
      </c>
    </row>
    <row r="4917" spans="1:4" x14ac:dyDescent="0.25">
      <c r="A4917" t="str">
        <f>T("   843061")</f>
        <v xml:space="preserve">   843061</v>
      </c>
      <c r="B4917" t="str">
        <f>T("   Machines et appareils à tasser ou à compacter, non autopropulsés (sauf outillage pour emploi à la main)")</f>
        <v xml:space="preserve">   Machines et appareils à tasser ou à compacter, non autopropulsés (sauf outillage pour emploi à la main)</v>
      </c>
      <c r="C4917">
        <v>3083012</v>
      </c>
      <c r="D4917">
        <v>100</v>
      </c>
    </row>
    <row r="4918" spans="1:4" x14ac:dyDescent="0.25">
      <c r="A4918" t="str">
        <f>T("   843110")</f>
        <v xml:space="preserve">   843110</v>
      </c>
      <c r="B4918" t="str">
        <f>T("   Parties de palans; treuils, cabestans; crics et vérins, n.d.a.")</f>
        <v xml:space="preserve">   Parties de palans; treuils, cabestans; crics et vérins, n.d.a.</v>
      </c>
      <c r="C4918">
        <v>3272985</v>
      </c>
      <c r="D4918">
        <v>330</v>
      </c>
    </row>
    <row r="4919" spans="1:4" x14ac:dyDescent="0.25">
      <c r="A4919" t="str">
        <f>T("   843120")</f>
        <v xml:space="preserve">   843120</v>
      </c>
      <c r="B4919" t="str">
        <f>T("   Parties de chariots-gerbeurs et autres chariots de manutention munis d'un dispositif de levage, n.d.a.")</f>
        <v xml:space="preserve">   Parties de chariots-gerbeurs et autres chariots de manutention munis d'un dispositif de levage, n.d.a.</v>
      </c>
      <c r="C4919">
        <v>47288558</v>
      </c>
      <c r="D4919">
        <v>4516.5</v>
      </c>
    </row>
    <row r="4920" spans="1:4" x14ac:dyDescent="0.25">
      <c r="A4920" t="str">
        <f>T("   843131")</f>
        <v xml:space="preserve">   843131</v>
      </c>
      <c r="B4920" t="str">
        <f>T("   Parties d'ascenseurs, monte-charge ou escaliers mécaniques, n.d.a.")</f>
        <v xml:space="preserve">   Parties d'ascenseurs, monte-charge ou escaliers mécaniques, n.d.a.</v>
      </c>
      <c r="C4920">
        <v>20321230</v>
      </c>
      <c r="D4920">
        <v>412.5</v>
      </c>
    </row>
    <row r="4921" spans="1:4" x14ac:dyDescent="0.25">
      <c r="A4921" t="str">
        <f>T("   843139")</f>
        <v xml:space="preserve">   843139</v>
      </c>
      <c r="B4921" t="str">
        <f>T("   Parties de machines et appareils du n° 8428, n.d.a.")</f>
        <v xml:space="preserve">   Parties de machines et appareils du n° 8428, n.d.a.</v>
      </c>
      <c r="C4921">
        <v>381648754</v>
      </c>
      <c r="D4921">
        <v>37613.599999999999</v>
      </c>
    </row>
    <row r="4922" spans="1:4" x14ac:dyDescent="0.25">
      <c r="A4922" t="str">
        <f>T("   843141")</f>
        <v xml:space="preserve">   843141</v>
      </c>
      <c r="B4922" t="str">
        <f>T("   Godets, bennes, bennes-preneuses, pelles, grappins et pinces pour machines et appareils du n° 8426, 8429 ou 8430")</f>
        <v xml:space="preserve">   Godets, bennes, bennes-preneuses, pelles, grappins et pinces pour machines et appareils du n° 8426, 8429 ou 8430</v>
      </c>
      <c r="C4922">
        <v>328835797</v>
      </c>
      <c r="D4922">
        <v>100267</v>
      </c>
    </row>
    <row r="4923" spans="1:4" x14ac:dyDescent="0.25">
      <c r="A4923" t="str">
        <f>T("   843143")</f>
        <v xml:space="preserve">   843143</v>
      </c>
      <c r="B4923" t="str">
        <f>T("   Parties de machines de sondage ou de forage du n° 8430.41 ou 8430.49, n.d.a.")</f>
        <v xml:space="preserve">   Parties de machines de sondage ou de forage du n° 8430.41 ou 8430.49, n.d.a.</v>
      </c>
      <c r="C4923">
        <v>44903987</v>
      </c>
      <c r="D4923">
        <v>18011.060000000001</v>
      </c>
    </row>
    <row r="4924" spans="1:4" x14ac:dyDescent="0.25">
      <c r="A4924" t="str">
        <f>T("   843149")</f>
        <v xml:space="preserve">   843149</v>
      </c>
      <c r="B4924" t="str">
        <f>T("   Parties de machines et appareils du n° 8426, 8429 ou 8430, n.d.a.")</f>
        <v xml:space="preserve">   Parties de machines et appareils du n° 8426, 8429 ou 8430, n.d.a.</v>
      </c>
      <c r="C4924">
        <v>944156116</v>
      </c>
      <c r="D4924">
        <v>119363.18</v>
      </c>
    </row>
    <row r="4925" spans="1:4" x14ac:dyDescent="0.25">
      <c r="A4925" t="str">
        <f>T("   843221")</f>
        <v xml:space="preserve">   843221</v>
      </c>
      <c r="B4925" t="str">
        <f>T("   Herses à disques -pulvériseurs- pour l'agriculture, la sylviculture ou l'horticulture")</f>
        <v xml:space="preserve">   Herses à disques -pulvériseurs- pour l'agriculture, la sylviculture ou l'horticulture</v>
      </c>
      <c r="C4925">
        <v>2972811</v>
      </c>
      <c r="D4925">
        <v>66</v>
      </c>
    </row>
    <row r="4926" spans="1:4" x14ac:dyDescent="0.25">
      <c r="A4926" t="str">
        <f>T("   843229")</f>
        <v xml:space="preserve">   843229</v>
      </c>
      <c r="B4926"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4926">
        <v>166614</v>
      </c>
      <c r="D4926">
        <v>1017</v>
      </c>
    </row>
    <row r="4927" spans="1:4" x14ac:dyDescent="0.25">
      <c r="A4927" t="str">
        <f>T("   843240")</f>
        <v xml:space="preserve">   843240</v>
      </c>
      <c r="B4927" t="str">
        <f>T("   ÉPANDEURS DE FUMIER ET DISTRIBUTEURS D'ENGRAIS POUR L'AGRICULTURE, LA SYLVICULTURE OU L'HORTICULTURE")</f>
        <v xml:space="preserve">   ÉPANDEURS DE FUMIER ET DISTRIBUTEURS D'ENGRAIS POUR L'AGRICULTURE, LA SYLVICULTURE OU L'HORTICULTURE</v>
      </c>
      <c r="C4927">
        <v>6395340</v>
      </c>
      <c r="D4927">
        <v>10840</v>
      </c>
    </row>
    <row r="4928" spans="1:4" x14ac:dyDescent="0.25">
      <c r="A4928" t="str">
        <f>T("   843280")</f>
        <v xml:space="preserve">   843280</v>
      </c>
      <c r="B4928" t="s">
        <v>434</v>
      </c>
      <c r="C4928">
        <v>42647331</v>
      </c>
      <c r="D4928">
        <v>30536</v>
      </c>
    </row>
    <row r="4929" spans="1:4" x14ac:dyDescent="0.25">
      <c r="A4929" t="str">
        <f>T("   843290")</f>
        <v xml:space="preserve">   843290</v>
      </c>
      <c r="B4929"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4929">
        <v>48231543</v>
      </c>
      <c r="D4929">
        <v>29675</v>
      </c>
    </row>
    <row r="4930" spans="1:4" x14ac:dyDescent="0.25">
      <c r="A4930" t="str">
        <f>T("   843319")</f>
        <v xml:space="preserve">   843319</v>
      </c>
      <c r="B4930" t="str">
        <f>T("   Tondeuses à gazon à moteur, dont le dispositif de coupe tourne dans un plan vertical, ou à barre de coupe")</f>
        <v xml:space="preserve">   Tondeuses à gazon à moteur, dont le dispositif de coupe tourne dans un plan vertical, ou à barre de coupe</v>
      </c>
      <c r="C4930">
        <v>4354919</v>
      </c>
      <c r="D4930">
        <v>852</v>
      </c>
    </row>
    <row r="4931" spans="1:4" x14ac:dyDescent="0.25">
      <c r="A4931" t="str">
        <f>T("   843320")</f>
        <v xml:space="preserve">   843320</v>
      </c>
      <c r="B4931" t="str">
        <f>T("   Faucheuses, y.c. les barres de coupe à monter sur tracteur (à l'excl. des tondeuses à gazon)")</f>
        <v xml:space="preserve">   Faucheuses, y.c. les barres de coupe à monter sur tracteur (à l'excl. des tondeuses à gazon)</v>
      </c>
      <c r="C4931">
        <v>1194883</v>
      </c>
      <c r="D4931">
        <v>154.75</v>
      </c>
    </row>
    <row r="4932" spans="1:4" x14ac:dyDescent="0.25">
      <c r="A4932" t="str">
        <f>T("   843390")</f>
        <v xml:space="preserve">   843390</v>
      </c>
      <c r="B4932"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4932">
        <v>4598640</v>
      </c>
      <c r="D4932">
        <v>2637</v>
      </c>
    </row>
    <row r="4933" spans="1:4" x14ac:dyDescent="0.25">
      <c r="A4933" t="str">
        <f>T("   843420")</f>
        <v xml:space="preserve">   843420</v>
      </c>
      <c r="B4933" t="s">
        <v>436</v>
      </c>
      <c r="C4933">
        <v>463443</v>
      </c>
      <c r="D4933">
        <v>9</v>
      </c>
    </row>
    <row r="4934" spans="1:4" x14ac:dyDescent="0.25">
      <c r="A4934" t="str">
        <f>T("   843510")</f>
        <v xml:space="preserve">   843510</v>
      </c>
      <c r="B4934" t="s">
        <v>437</v>
      </c>
      <c r="C4934">
        <v>6716296</v>
      </c>
      <c r="D4934">
        <v>2172</v>
      </c>
    </row>
    <row r="4935" spans="1:4" x14ac:dyDescent="0.25">
      <c r="A4935" t="str">
        <f>T("   843621")</f>
        <v xml:space="preserve">   843621</v>
      </c>
      <c r="B4935" t="str">
        <f>T("   Couveuses et éleveuses pour l'aviculture")</f>
        <v xml:space="preserve">   Couveuses et éleveuses pour l'aviculture</v>
      </c>
      <c r="C4935">
        <v>663021</v>
      </c>
      <c r="D4935">
        <v>103</v>
      </c>
    </row>
    <row r="4936" spans="1:4" x14ac:dyDescent="0.25">
      <c r="A4936" t="str">
        <f>T("   843629")</f>
        <v xml:space="preserve">   843629</v>
      </c>
      <c r="B4936"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4936">
        <v>230572643</v>
      </c>
      <c r="D4936">
        <v>92693</v>
      </c>
    </row>
    <row r="4937" spans="1:4" x14ac:dyDescent="0.25">
      <c r="A4937" t="str">
        <f>T("   843699")</f>
        <v xml:space="preserve">   843699</v>
      </c>
      <c r="B4937" t="str">
        <f>T("   Parties de machines et appareils pour l'agriculture, la sylviculture, l'horticulture ou l'apiculture, n.d.a.")</f>
        <v xml:space="preserve">   Parties de machines et appareils pour l'agriculture, la sylviculture, l'horticulture ou l'apiculture, n.d.a.</v>
      </c>
      <c r="C4937">
        <v>152199</v>
      </c>
      <c r="D4937">
        <v>268</v>
      </c>
    </row>
    <row r="4938" spans="1:4" x14ac:dyDescent="0.25">
      <c r="A4938" t="str">
        <f>T("   843710")</f>
        <v xml:space="preserve">   843710</v>
      </c>
      <c r="B4938" t="str">
        <f>T("   Machines pour le nettoyage, le triage ou le criblage des grains ou des légumes secs")</f>
        <v xml:space="preserve">   Machines pour le nettoyage, le triage ou le criblage des grains ou des légumes secs</v>
      </c>
      <c r="C4938">
        <v>327980</v>
      </c>
      <c r="D4938">
        <v>440</v>
      </c>
    </row>
    <row r="4939" spans="1:4" x14ac:dyDescent="0.25">
      <c r="A4939" t="str">
        <f>T("   843780")</f>
        <v xml:space="preserve">   843780</v>
      </c>
      <c r="B4939" t="s">
        <v>439</v>
      </c>
      <c r="C4939">
        <v>1902284</v>
      </c>
      <c r="D4939">
        <v>216</v>
      </c>
    </row>
    <row r="4940" spans="1:4" x14ac:dyDescent="0.25">
      <c r="A4940" t="str">
        <f>T("   843790")</f>
        <v xml:space="preserve">   843790</v>
      </c>
      <c r="B4940"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4940">
        <v>9973050</v>
      </c>
      <c r="D4940">
        <v>11937</v>
      </c>
    </row>
    <row r="4941" spans="1:4" x14ac:dyDescent="0.25">
      <c r="A4941" t="str">
        <f>T("   843810")</f>
        <v xml:space="preserve">   843810</v>
      </c>
      <c r="B4941" t="s">
        <v>440</v>
      </c>
      <c r="C4941">
        <v>68072522</v>
      </c>
      <c r="D4941">
        <v>78626</v>
      </c>
    </row>
    <row r="4942" spans="1:4" x14ac:dyDescent="0.25">
      <c r="A4942" t="str">
        <f>T("   843840")</f>
        <v xml:space="preserve">   843840</v>
      </c>
      <c r="B4942"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4942">
        <v>18274390</v>
      </c>
      <c r="D4942">
        <v>1448</v>
      </c>
    </row>
    <row r="4943" spans="1:4" x14ac:dyDescent="0.25">
      <c r="A4943" t="str">
        <f>T("   843890")</f>
        <v xml:space="preserve">   843890</v>
      </c>
      <c r="B4943"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4943">
        <v>61037755</v>
      </c>
      <c r="D4943">
        <v>13140.17</v>
      </c>
    </row>
    <row r="4944" spans="1:4" x14ac:dyDescent="0.25">
      <c r="A4944" t="str">
        <f>T("   844010")</f>
        <v xml:space="preserve">   844010</v>
      </c>
      <c r="B4944" t="s">
        <v>441</v>
      </c>
      <c r="C4944">
        <v>13117888</v>
      </c>
      <c r="D4944">
        <v>641</v>
      </c>
    </row>
    <row r="4945" spans="1:4" x14ac:dyDescent="0.25">
      <c r="A4945" t="str">
        <f>T("   844110")</f>
        <v xml:space="preserve">   844110</v>
      </c>
      <c r="B4945"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4945">
        <v>2059439</v>
      </c>
      <c r="D4945">
        <v>1782</v>
      </c>
    </row>
    <row r="4946" spans="1:4" x14ac:dyDescent="0.25">
      <c r="A4946" t="str">
        <f>T("   844120")</f>
        <v xml:space="preserve">   844120</v>
      </c>
      <c r="B4946" t="str">
        <f>T("   Machines pour la fabrication de sacs, sachets ou enveloppes en pâte à papier, papier ou carton (sauf machines à coudre et machines à placer les oeillets)")</f>
        <v xml:space="preserve">   Machines pour la fabrication de sacs, sachets ou enveloppes en pâte à papier, papier ou carton (sauf machines à coudre et machines à placer les oeillets)</v>
      </c>
      <c r="C4946">
        <v>65596</v>
      </c>
      <c r="D4946">
        <v>200</v>
      </c>
    </row>
    <row r="4947" spans="1:4" x14ac:dyDescent="0.25">
      <c r="A4947" t="str">
        <f>T("   844180")</f>
        <v xml:space="preserve">   844180</v>
      </c>
      <c r="B4947" t="str">
        <f>T("   Machines et appareils pour le travail de la pâte à papier, du papier ou du carton, n.d.a.")</f>
        <v xml:space="preserve">   Machines et appareils pour le travail de la pâte à papier, du papier ou du carton, n.d.a.</v>
      </c>
      <c r="C4947">
        <v>1361589</v>
      </c>
      <c r="D4947">
        <v>837</v>
      </c>
    </row>
    <row r="4948" spans="1:4" x14ac:dyDescent="0.25">
      <c r="A4948" t="str">
        <f>T("   844230")</f>
        <v xml:space="preserve">   844230</v>
      </c>
      <c r="B4948" t="s">
        <v>442</v>
      </c>
      <c r="C4948">
        <v>1396533</v>
      </c>
      <c r="D4948">
        <v>136</v>
      </c>
    </row>
    <row r="4949" spans="1:4" x14ac:dyDescent="0.25">
      <c r="A4949" t="str">
        <f>T("   844240")</f>
        <v xml:space="preserve">   844240</v>
      </c>
      <c r="B4949"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4949">
        <v>5482947</v>
      </c>
      <c r="D4949">
        <v>293</v>
      </c>
    </row>
    <row r="4950" spans="1:4" x14ac:dyDescent="0.25">
      <c r="A4950" t="str">
        <f>T("   844250")</f>
        <v xml:space="preserve">   844250</v>
      </c>
      <c r="B4950"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4950">
        <v>3118867</v>
      </c>
      <c r="D4950">
        <v>145</v>
      </c>
    </row>
    <row r="4951" spans="1:4" x14ac:dyDescent="0.25">
      <c r="A4951" t="str">
        <f>T("   844312")</f>
        <v xml:space="preserve">   844312</v>
      </c>
      <c r="B4951" t="str">
        <f>T("   Machines et appareils à imprimer, offset, alimentés en feuilles, format &lt;= 22 x 36 cm -offset de bureau-")</f>
        <v xml:space="preserve">   Machines et appareils à imprimer, offset, alimentés en feuilles, format &lt;= 22 x 36 cm -offset de bureau-</v>
      </c>
      <c r="C4951">
        <v>673540</v>
      </c>
      <c r="D4951">
        <v>1130</v>
      </c>
    </row>
    <row r="4952" spans="1:4" x14ac:dyDescent="0.25">
      <c r="A4952" t="str">
        <f>T("   844313")</f>
        <v xml:space="preserve">   844313</v>
      </c>
      <c r="B4952" t="str">
        <f>T("   MACHINES ET APPAREILS À IMPRIMER OFFSET (À L'EXCL. DES MACHINES ET APPAREILS OFFSET ALIMENTÉS EN FEUILLES DE FORMAT &lt;= 22 X 36 CM ET DES MACHINES ET APPAREILS OFFSET ALIMENTÉS EN BOBINES)")</f>
        <v xml:space="preserve">   MACHINES ET APPAREILS À IMPRIMER OFFSET (À L'EXCL. DES MACHINES ET APPAREILS OFFSET ALIMENTÉS EN FEUILLES DE FORMAT &lt;= 22 X 36 CM ET DES MACHINES ET APPAREILS OFFSET ALIMENTÉS EN BOBINES)</v>
      </c>
      <c r="C4952">
        <v>1550000</v>
      </c>
      <c r="D4952">
        <v>1385</v>
      </c>
    </row>
    <row r="4953" spans="1:4" x14ac:dyDescent="0.25">
      <c r="A4953" t="str">
        <f>T("   844319")</f>
        <v xml:space="preserve">   844319</v>
      </c>
      <c r="B4953" t="s">
        <v>443</v>
      </c>
      <c r="C4953">
        <v>79372471</v>
      </c>
      <c r="D4953">
        <v>91847</v>
      </c>
    </row>
    <row r="4954" spans="1:4" x14ac:dyDescent="0.25">
      <c r="A4954" t="str">
        <f>T("   844330")</f>
        <v xml:space="preserve">   844330</v>
      </c>
      <c r="B4954" t="str">
        <f>T("   Machines et appareils à imprimer, flexographiques")</f>
        <v xml:space="preserve">   Machines et appareils à imprimer, flexographiques</v>
      </c>
      <c r="C4954">
        <v>7354466</v>
      </c>
      <c r="D4954">
        <v>1000</v>
      </c>
    </row>
    <row r="4955" spans="1:4" x14ac:dyDescent="0.25">
      <c r="A4955" t="str">
        <f>T("   844331")</f>
        <v xml:space="preserve">   844331</v>
      </c>
      <c r="B4955" t="str">
        <f>T("   MACHINES QUI ASSURENT AU MOINS DEUX DES FONCTIONS SUIVANTES: IMPRESSION, COPIE OU TRANSMISSION DE TÉLÉCOPIE, APTES À ÊTRE CONNECTÉES À UNE MACHINE AUTOMATIQUE DE TRAITEMENT DE L'INFORMATION OU À UN RÉSEAU")</f>
        <v xml:space="preserve">   MACHINES QUI ASSURENT AU MOINS DEUX DES FONCTIONS SUIVANTES: IMPRESSION, COPIE OU TRANSMISSION DE TÉLÉCOPIE, APTES À ÊTRE CONNECTÉES À UNE MACHINE AUTOMATIQUE DE TRAITEMENT DE L'INFORMATION OU À UN RÉSEAU</v>
      </c>
      <c r="C4955">
        <v>34135623</v>
      </c>
      <c r="D4955">
        <v>5432</v>
      </c>
    </row>
    <row r="4956" spans="1:4" x14ac:dyDescent="0.25">
      <c r="A4956" t="str">
        <f>T("   844339")</f>
        <v xml:space="preserve">   844339</v>
      </c>
      <c r="B4956" t="s">
        <v>444</v>
      </c>
      <c r="C4956">
        <v>52928531</v>
      </c>
      <c r="D4956">
        <v>39623</v>
      </c>
    </row>
    <row r="4957" spans="1:4" x14ac:dyDescent="0.25">
      <c r="A4957" t="str">
        <f>T("   844359")</f>
        <v xml:space="preserve">   844359</v>
      </c>
      <c r="B4957" t="s">
        <v>445</v>
      </c>
      <c r="C4957">
        <v>21243920</v>
      </c>
      <c r="D4957">
        <v>5960</v>
      </c>
    </row>
    <row r="4958" spans="1:4" x14ac:dyDescent="0.25">
      <c r="A4958" t="str">
        <f>T("   844390")</f>
        <v xml:space="preserve">   844390</v>
      </c>
      <c r="B4958" t="str">
        <f>T("   Parties de machines et appareils à imprimer et de leur machines et appareils auxiliaires, n.d.a.")</f>
        <v xml:space="preserve">   Parties de machines et appareils à imprimer et de leur machines et appareils auxiliaires, n.d.a.</v>
      </c>
      <c r="C4958">
        <v>3506762</v>
      </c>
      <c r="D4958">
        <v>980</v>
      </c>
    </row>
    <row r="4959" spans="1:4" x14ac:dyDescent="0.25">
      <c r="A4959" t="str">
        <f>T("   844391")</f>
        <v xml:space="preserve">   844391</v>
      </c>
      <c r="B4959"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4959">
        <v>37454760</v>
      </c>
      <c r="D4959">
        <v>2687</v>
      </c>
    </row>
    <row r="4960" spans="1:4" x14ac:dyDescent="0.25">
      <c r="A4960" t="str">
        <f>T("   844399")</f>
        <v xml:space="preserve">   844399</v>
      </c>
      <c r="B4960" t="str">
        <f>T("   PARTIES ET ACCESSOIRES D'IMPRIMANTES, DE MACHINES À COPIER ET DE MACHINES À TÉLÉCOPIER, N.D.A. (À L'EXCL. DE MACHINES ET D'APPAREILS SERVANT À L'IMPRESSION AU MOYEN DE PLANCHES, CYLINDRES ET AUTRES ORGANES IMPRIMANTS DU N° 8442)")</f>
        <v xml:space="preserve">   PARTIES ET ACCESSOIRES D'IMPRIMANTES, DE MACHINES À COPIER ET DE MACHINES À TÉLÉCOPIER, N.D.A. (À L'EXCL. DE MACHINES ET D'APPAREILS SERVANT À L'IMPRESSION AU MOYEN DE PLANCHES, CYLINDRES ET AUTRES ORGANES IMPRIMANTS DU N° 8442)</v>
      </c>
      <c r="C4960">
        <v>13863062</v>
      </c>
      <c r="D4960">
        <v>15455</v>
      </c>
    </row>
    <row r="4961" spans="1:4" x14ac:dyDescent="0.25">
      <c r="A4961" t="str">
        <f>T("   844820")</f>
        <v xml:space="preserve">   844820</v>
      </c>
      <c r="B4961"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4961">
        <v>11431238</v>
      </c>
      <c r="D4961">
        <v>511</v>
      </c>
    </row>
    <row r="4962" spans="1:4" x14ac:dyDescent="0.25">
      <c r="A4962" t="str">
        <f>T("   844832")</f>
        <v xml:space="preserve">   844832</v>
      </c>
      <c r="B4962" t="str">
        <f>T("   PARTIES ET ACCESSOIRES DE MACHINES POUR LA PRÉPARATION DES MATIÈRES TEXTILES, N.D.A. (AUTRES QUE LES GARNITURES DE CARDÉS)")</f>
        <v xml:space="preserve">   PARTIES ET ACCESSOIRES DE MACHINES POUR LA PRÉPARATION DES MATIÈRES TEXTILES, N.D.A. (AUTRES QUE LES GARNITURES DE CARDÉS)</v>
      </c>
      <c r="C4962">
        <v>7514918</v>
      </c>
      <c r="D4962">
        <v>565</v>
      </c>
    </row>
    <row r="4963" spans="1:4" x14ac:dyDescent="0.25">
      <c r="A4963" t="str">
        <f>T("   844839")</f>
        <v xml:space="preserve">   844839</v>
      </c>
      <c r="B4963" t="str">
        <f>T("   Parties et accessoires des machines du n° 8445, n.d.a.")</f>
        <v xml:space="preserve">   Parties et accessoires des machines du n° 8445, n.d.a.</v>
      </c>
      <c r="C4963">
        <v>3093081</v>
      </c>
      <c r="D4963">
        <v>66</v>
      </c>
    </row>
    <row r="4964" spans="1:4" x14ac:dyDescent="0.25">
      <c r="A4964" t="str">
        <f>T("   845011")</f>
        <v xml:space="preserve">   845011</v>
      </c>
      <c r="B4964" t="str">
        <f>T("   Machines à laver le linge entièrement automatiques, d'une capacité unitaire exprimée en poids de linge sec &lt;= 6 kg")</f>
        <v xml:space="preserve">   Machines à laver le linge entièrement automatiques, d'une capacité unitaire exprimée en poids de linge sec &lt;= 6 kg</v>
      </c>
      <c r="C4964">
        <v>1070297</v>
      </c>
      <c r="D4964">
        <v>150</v>
      </c>
    </row>
    <row r="4965" spans="1:4" x14ac:dyDescent="0.25">
      <c r="A4965" t="str">
        <f>T("   845012")</f>
        <v xml:space="preserve">   845012</v>
      </c>
      <c r="B4965" t="str">
        <f>T("   Machines à laver le linge, avec essoreuse centrifuge incorporée (à l'excl. des machines entièrement automatiques)")</f>
        <v xml:space="preserve">   Machines à laver le linge, avec essoreuse centrifuge incorporée (à l'excl. des machines entièrement automatiques)</v>
      </c>
      <c r="C4965">
        <v>695318</v>
      </c>
      <c r="D4965">
        <v>344</v>
      </c>
    </row>
    <row r="4966" spans="1:4" x14ac:dyDescent="0.25">
      <c r="A4966" t="str">
        <f>T("   845019")</f>
        <v xml:space="preserve">   845019</v>
      </c>
      <c r="B496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4966">
        <v>17925715</v>
      </c>
      <c r="D4966">
        <v>5020</v>
      </c>
    </row>
    <row r="4967" spans="1:4" x14ac:dyDescent="0.25">
      <c r="A4967" t="str">
        <f>T("   845020")</f>
        <v xml:space="preserve">   845020</v>
      </c>
      <c r="B4967" t="str">
        <f>T("   Machines à laver le linge, capacité unitaire en poids de linge sec &gt; 10 kg")</f>
        <v xml:space="preserve">   Machines à laver le linge, capacité unitaire en poids de linge sec &gt; 10 kg</v>
      </c>
      <c r="C4967">
        <v>101685</v>
      </c>
      <c r="D4967">
        <v>150</v>
      </c>
    </row>
    <row r="4968" spans="1:4" x14ac:dyDescent="0.25">
      <c r="A4968" t="str">
        <f>T("   845129")</f>
        <v xml:space="preserve">   845129</v>
      </c>
      <c r="B4968"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4968">
        <v>795026</v>
      </c>
      <c r="D4968">
        <v>39</v>
      </c>
    </row>
    <row r="4969" spans="1:4" x14ac:dyDescent="0.25">
      <c r="A4969" t="str">
        <f>T("   845130")</f>
        <v xml:space="preserve">   845130</v>
      </c>
      <c r="B4969" t="str">
        <f>T("   Machines et presses à repasser, y.c. les presses à fixer (à l'excl. des calandres à catir ou à repasser)")</f>
        <v xml:space="preserve">   Machines et presses à repasser, y.c. les presses à fixer (à l'excl. des calandres à catir ou à repasser)</v>
      </c>
      <c r="C4969">
        <v>700565</v>
      </c>
      <c r="D4969">
        <v>833</v>
      </c>
    </row>
    <row r="4970" spans="1:4" x14ac:dyDescent="0.25">
      <c r="A4970" t="str">
        <f>T("   845140")</f>
        <v xml:space="preserve">   845140</v>
      </c>
      <c r="B4970"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4970">
        <v>11679205</v>
      </c>
      <c r="D4970">
        <v>4805</v>
      </c>
    </row>
    <row r="4971" spans="1:4" x14ac:dyDescent="0.25">
      <c r="A4971" t="str">
        <f>T("   845180")</f>
        <v xml:space="preserve">   845180</v>
      </c>
      <c r="B4971" t="s">
        <v>447</v>
      </c>
      <c r="C4971">
        <v>575730</v>
      </c>
      <c r="D4971">
        <v>37</v>
      </c>
    </row>
    <row r="4972" spans="1:4" x14ac:dyDescent="0.25">
      <c r="A4972" t="str">
        <f>T("   845190")</f>
        <v xml:space="preserve">   845190</v>
      </c>
      <c r="B4972" t="s">
        <v>448</v>
      </c>
      <c r="C4972">
        <v>6994023</v>
      </c>
      <c r="D4972">
        <v>317.60000000000002</v>
      </c>
    </row>
    <row r="4973" spans="1:4" x14ac:dyDescent="0.25">
      <c r="A4973" t="str">
        <f>T("   845210")</f>
        <v xml:space="preserve">   845210</v>
      </c>
      <c r="B4973" t="str">
        <f>T("   Machines à coudre de type ménager")</f>
        <v xml:space="preserve">   Machines à coudre de type ménager</v>
      </c>
      <c r="C4973">
        <v>2146464</v>
      </c>
      <c r="D4973">
        <v>18184</v>
      </c>
    </row>
    <row r="4974" spans="1:4" x14ac:dyDescent="0.25">
      <c r="A4974" t="str">
        <f>T("   845229")</f>
        <v xml:space="preserve">   845229</v>
      </c>
      <c r="B4974" t="str">
        <f>T("   Machines à coudre de type industriel (sauf unités automatiques)")</f>
        <v xml:space="preserve">   Machines à coudre de type industriel (sauf unités automatiques)</v>
      </c>
      <c r="C4974">
        <v>170550</v>
      </c>
      <c r="D4974">
        <v>1386</v>
      </c>
    </row>
    <row r="4975" spans="1:4" x14ac:dyDescent="0.25">
      <c r="A4975" t="str">
        <f>T("   845230")</f>
        <v xml:space="preserve">   845230</v>
      </c>
      <c r="B4975" t="str">
        <f>T("   Aiguilles pour machines à coudre")</f>
        <v xml:space="preserve">   Aiguilles pour machines à coudre</v>
      </c>
      <c r="C4975">
        <v>52000</v>
      </c>
      <c r="D4975">
        <v>2</v>
      </c>
    </row>
    <row r="4976" spans="1:4" x14ac:dyDescent="0.25">
      <c r="A4976" t="str">
        <f>T("   845720")</f>
        <v xml:space="preserve">   845720</v>
      </c>
      <c r="B4976" t="str">
        <f>T("   Machines à poste fixe pour le travail des métaux")</f>
        <v xml:space="preserve">   Machines à poste fixe pour le travail des métaux</v>
      </c>
      <c r="C4976">
        <v>373733</v>
      </c>
      <c r="D4976">
        <v>24</v>
      </c>
    </row>
    <row r="4977" spans="1:4" x14ac:dyDescent="0.25">
      <c r="A4977" t="str">
        <f>T("   845899")</f>
        <v xml:space="preserve">   845899</v>
      </c>
      <c r="B4977" t="s">
        <v>449</v>
      </c>
      <c r="C4977">
        <v>255051</v>
      </c>
      <c r="D4977">
        <v>1200</v>
      </c>
    </row>
    <row r="4978" spans="1:4" x14ac:dyDescent="0.25">
      <c r="A4978" t="str">
        <f>T("   845929")</f>
        <v xml:space="preserve">   845929</v>
      </c>
      <c r="B4978" t="s">
        <v>450</v>
      </c>
      <c r="C4978">
        <v>4500542</v>
      </c>
      <c r="D4978">
        <v>825</v>
      </c>
    </row>
    <row r="4979" spans="1:4" x14ac:dyDescent="0.25">
      <c r="A4979" t="str">
        <f>T("   845969")</f>
        <v xml:space="preserve">   845969</v>
      </c>
      <c r="B4979"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4979">
        <v>226601</v>
      </c>
      <c r="D4979">
        <v>126</v>
      </c>
    </row>
    <row r="4980" spans="1:4" x14ac:dyDescent="0.25">
      <c r="A4980" t="str">
        <f>T("   846029")</f>
        <v xml:space="preserve">   846029</v>
      </c>
      <c r="B4980" t="str">
        <f>T("   Machines à rectifier, dont le positionnement dans un des axes peut être réglé à au moins 0,01 mm près, pour le travail des métaux (autres qu'à commande numérique, autres que les surfaces planes et sauf machines à finir les engrenages)")</f>
        <v xml:space="preserve">   Machines à rectifier, dont le positionnement dans un des axes peut être réglé à au moins 0,01 mm près, pour le travail des métaux (autres qu'à commande numérique, autres que les surfaces planes et sauf machines à finir les engrenages)</v>
      </c>
      <c r="C4980">
        <v>279988</v>
      </c>
      <c r="D4980">
        <v>5</v>
      </c>
    </row>
    <row r="4981" spans="1:4" x14ac:dyDescent="0.25">
      <c r="A4981" t="str">
        <f>T("   846150")</f>
        <v xml:space="preserve">   846150</v>
      </c>
      <c r="B4981" t="str">
        <f>T("   Machines à scier ou à tronçonner, pour le travail des métaux (autres que l'outillage à main)")</f>
        <v xml:space="preserve">   Machines à scier ou à tronçonner, pour le travail des métaux (autres que l'outillage à main)</v>
      </c>
      <c r="C4981">
        <v>4105018</v>
      </c>
      <c r="D4981">
        <v>2000</v>
      </c>
    </row>
    <row r="4982" spans="1:4" x14ac:dyDescent="0.25">
      <c r="A4982" t="str">
        <f>T("   846190")</f>
        <v xml:space="preserve">   846190</v>
      </c>
      <c r="B4982" t="str">
        <f>T("   Machines à raboter et autres machines-outils travaillant par enlèvement de métal, n.d.a.")</f>
        <v xml:space="preserve">   Machines à raboter et autres machines-outils travaillant par enlèvement de métal, n.d.a.</v>
      </c>
      <c r="C4982">
        <v>454250</v>
      </c>
      <c r="D4982">
        <v>29</v>
      </c>
    </row>
    <row r="4983" spans="1:4" x14ac:dyDescent="0.25">
      <c r="A4983" t="str">
        <f>T("   846210")</f>
        <v xml:space="preserve">   846210</v>
      </c>
      <c r="B4983" t="str">
        <f>T("   Machines, y.c. -les presses-, à forger ou à estamper, moutons, marteaux-pilons et martinets, pour le travail des métaux")</f>
        <v xml:space="preserve">   Machines, y.c. -les presses-, à forger ou à estamper, moutons, marteaux-pilons et martinets, pour le travail des métaux</v>
      </c>
      <c r="C4983">
        <v>721369</v>
      </c>
      <c r="D4983">
        <v>112</v>
      </c>
    </row>
    <row r="4984" spans="1:4" x14ac:dyDescent="0.25">
      <c r="A4984" t="str">
        <f>T("   846229")</f>
        <v xml:space="preserve">   846229</v>
      </c>
      <c r="B4984"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4984">
        <v>2251255</v>
      </c>
      <c r="D4984">
        <v>151</v>
      </c>
    </row>
    <row r="4985" spans="1:4" x14ac:dyDescent="0.25">
      <c r="A4985" t="str">
        <f>T("   846249")</f>
        <v xml:space="preserve">   846249</v>
      </c>
      <c r="B4985" t="str">
        <f>T("   MACHINES, Y.C. -LES PRESSES-, À POINÇONNER OU À GRUGER, Y.C. LES MACHINES COMBINÉES À POINÇONNER ET À CISAILLER, POUR LE TRAVAIL DES MÉTAUX (AUTRES QU'À COMMANDE NUMÉRIQUE)")</f>
        <v xml:space="preserve">   MACHINES, Y.C. -LES PRESSES-, À POINÇONNER OU À GRUGER, Y.C. LES MACHINES COMBINÉES À POINÇONNER ET À CISAILLER, POUR LE TRAVAIL DES MÉTAUX (AUTRES QU'À COMMANDE NUMÉRIQUE)</v>
      </c>
      <c r="C4985">
        <v>229049</v>
      </c>
      <c r="D4985">
        <v>1600</v>
      </c>
    </row>
    <row r="4986" spans="1:4" x14ac:dyDescent="0.25">
      <c r="A4986" t="str">
        <f>T("   846390")</f>
        <v xml:space="preserve">   846390</v>
      </c>
      <c r="B4986" t="s">
        <v>451</v>
      </c>
      <c r="C4986">
        <v>12102462</v>
      </c>
      <c r="D4986">
        <v>12000</v>
      </c>
    </row>
    <row r="4987" spans="1:4" x14ac:dyDescent="0.25">
      <c r="A4987" t="str">
        <f>T("   846420")</f>
        <v xml:space="preserve">   846420</v>
      </c>
      <c r="B4987" t="str">
        <f>T("   Machines à meuler ou à polir pour le travail de la pierre, des produits céramiques, du béton, de l'amiante-ciment ou de matières minérales simil., ou pour le travail à froid du verre (à l'excl. des machines pour emploi à la main)")</f>
        <v xml:space="preserve">   Machines à meuler ou à polir pour le travail de la pierre, des produits céramiques, du béton, de l'amiante-ciment ou de matières minérales simil., ou pour le travail à froid du verre (à l'excl. des machines pour emploi à la main)</v>
      </c>
      <c r="C4987">
        <v>5541550</v>
      </c>
      <c r="D4987">
        <v>1532</v>
      </c>
    </row>
    <row r="4988" spans="1:4" x14ac:dyDescent="0.25">
      <c r="A4988" t="str">
        <f>T("   846591")</f>
        <v xml:space="preserve">   846591</v>
      </c>
      <c r="B4988" t="str">
        <f>T("   Machines à scier, pour le travail du bois, des matières plastiques dures, etc. (autres que pour emploi à la main)")</f>
        <v xml:space="preserve">   Machines à scier, pour le travail du bois, des matières plastiques dures, etc. (autres que pour emploi à la main)</v>
      </c>
      <c r="C4988">
        <v>6803480</v>
      </c>
      <c r="D4988">
        <v>13590</v>
      </c>
    </row>
    <row r="4989" spans="1:4" x14ac:dyDescent="0.25">
      <c r="A4989" t="str">
        <f>T("   846592")</f>
        <v xml:space="preserve">   846592</v>
      </c>
      <c r="B4989" t="s">
        <v>453</v>
      </c>
      <c r="C4989">
        <v>4098444</v>
      </c>
      <c r="D4989">
        <v>2987</v>
      </c>
    </row>
    <row r="4990" spans="1:4" x14ac:dyDescent="0.25">
      <c r="A4990" t="str">
        <f>T("   846596")</f>
        <v xml:space="preserve">   846596</v>
      </c>
      <c r="B4990" t="str">
        <f>T("   Machines à fendre, à trancher ou à dérouler, pour le travail du bois")</f>
        <v xml:space="preserve">   Machines à fendre, à trancher ou à dérouler, pour le travail du bois</v>
      </c>
      <c r="C4990">
        <v>539238</v>
      </c>
      <c r="D4990">
        <v>6</v>
      </c>
    </row>
    <row r="4991" spans="1:4" x14ac:dyDescent="0.25">
      <c r="A4991" t="str">
        <f>T("   846599")</f>
        <v xml:space="preserve">   846599</v>
      </c>
      <c r="B4991" t="s">
        <v>455</v>
      </c>
      <c r="C4991">
        <v>2213208</v>
      </c>
      <c r="D4991">
        <v>1349</v>
      </c>
    </row>
    <row r="4992" spans="1:4" x14ac:dyDescent="0.25">
      <c r="A4992" t="str">
        <f>T("   846630")</f>
        <v xml:space="preserve">   846630</v>
      </c>
      <c r="B4992" t="str">
        <f>T("   Dispositifs diviseurs et autres dispositifs spéciaux se montant sur machines-outils, n.d.a.")</f>
        <v xml:space="preserve">   Dispositifs diviseurs et autres dispositifs spéciaux se montant sur machines-outils, n.d.a.</v>
      </c>
      <c r="C4992">
        <v>1079710</v>
      </c>
      <c r="D4992">
        <v>2</v>
      </c>
    </row>
    <row r="4993" spans="1:4" x14ac:dyDescent="0.25">
      <c r="A4993" t="str">
        <f>T("   846691")</f>
        <v xml:space="preserve">   846691</v>
      </c>
      <c r="B4993"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4993">
        <v>116308</v>
      </c>
      <c r="D4993">
        <v>63</v>
      </c>
    </row>
    <row r="4994" spans="1:4" x14ac:dyDescent="0.25">
      <c r="A4994" t="str">
        <f>T("   846692")</f>
        <v xml:space="preserve">   846692</v>
      </c>
      <c r="B4994" t="str">
        <f>T("   Parties et accessoires pour machines-outils pour le travail du bois, des matières plastiques dures, etc., n.d.a.")</f>
        <v xml:space="preserve">   Parties et accessoires pour machines-outils pour le travail du bois, des matières plastiques dures, etc., n.d.a.</v>
      </c>
      <c r="C4994">
        <v>292355</v>
      </c>
      <c r="D4994">
        <v>24.5</v>
      </c>
    </row>
    <row r="4995" spans="1:4" x14ac:dyDescent="0.25">
      <c r="A4995" t="str">
        <f>T("   846694")</f>
        <v xml:space="preserve">   846694</v>
      </c>
      <c r="B4995" t="str">
        <f>T("   Parties et accessoires pour machines-outils pour le travail du métal avec enlèvement de matière, n.d.a.")</f>
        <v xml:space="preserve">   Parties et accessoires pour machines-outils pour le travail du métal avec enlèvement de matière, n.d.a.</v>
      </c>
      <c r="C4995">
        <v>14127684</v>
      </c>
      <c r="D4995">
        <v>350</v>
      </c>
    </row>
    <row r="4996" spans="1:4" x14ac:dyDescent="0.25">
      <c r="A4996" t="str">
        <f>T("   846719")</f>
        <v xml:space="preserve">   846719</v>
      </c>
      <c r="B4996"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4996">
        <v>5427961</v>
      </c>
      <c r="D4996">
        <v>9764</v>
      </c>
    </row>
    <row r="4997" spans="1:4" x14ac:dyDescent="0.25">
      <c r="A4997" t="str">
        <f>T("   846721")</f>
        <v xml:space="preserve">   846721</v>
      </c>
      <c r="B4997" t="str">
        <f>T("   Perceuses à moteur électrique incorporé, pour emploi à la main, y.c. les perforatrices rotatives")</f>
        <v xml:space="preserve">   Perceuses à moteur électrique incorporé, pour emploi à la main, y.c. les perforatrices rotatives</v>
      </c>
      <c r="C4997">
        <v>8445643</v>
      </c>
      <c r="D4997">
        <v>2347</v>
      </c>
    </row>
    <row r="4998" spans="1:4" x14ac:dyDescent="0.25">
      <c r="A4998" t="str">
        <f>T("   846729")</f>
        <v xml:space="preserve">   846729</v>
      </c>
      <c r="B4998" t="str">
        <f>T("   Outils électromécaniques à moteur électrique incorporé, pour emploi à la main (autres que scies et perceuses)")</f>
        <v xml:space="preserve">   Outils électromécaniques à moteur électrique incorporé, pour emploi à la main (autres que scies et perceuses)</v>
      </c>
      <c r="C4998">
        <v>11087328</v>
      </c>
      <c r="D4998">
        <v>12304</v>
      </c>
    </row>
    <row r="4999" spans="1:4" x14ac:dyDescent="0.25">
      <c r="A4999" t="str">
        <f>T("   846789")</f>
        <v xml:space="preserve">   846789</v>
      </c>
      <c r="B4999"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4999">
        <v>7691399</v>
      </c>
      <c r="D4999">
        <v>1639</v>
      </c>
    </row>
    <row r="5000" spans="1:4" x14ac:dyDescent="0.25">
      <c r="A5000" t="str">
        <f>T("   846799")</f>
        <v xml:space="preserve">   846799</v>
      </c>
      <c r="B5000" t="str">
        <f>T("   Parties d'outils pour emploi à la main, hydrauliques ou à moteur électrique ou non électrique incorporé, n.d.a.")</f>
        <v xml:space="preserve">   Parties d'outils pour emploi à la main, hydrauliques ou à moteur électrique ou non électrique incorporé, n.d.a.</v>
      </c>
      <c r="C5000">
        <v>13394055</v>
      </c>
      <c r="D5000">
        <v>395</v>
      </c>
    </row>
    <row r="5001" spans="1:4" x14ac:dyDescent="0.25">
      <c r="A5001" t="str">
        <f>T("   846810")</f>
        <v xml:space="preserve">   846810</v>
      </c>
      <c r="B5001" t="str">
        <f>T("   Chalumeaux guidés à la main pour le brasage ou le soudage aux gaz")</f>
        <v xml:space="preserve">   Chalumeaux guidés à la main pour le brasage ou le soudage aux gaz</v>
      </c>
      <c r="C5001">
        <v>348761</v>
      </c>
      <c r="D5001">
        <v>43</v>
      </c>
    </row>
    <row r="5002" spans="1:4" x14ac:dyDescent="0.25">
      <c r="A5002" t="str">
        <f>T("   846880")</f>
        <v xml:space="preserve">   846880</v>
      </c>
      <c r="B5002"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5002">
        <v>246793</v>
      </c>
      <c r="D5002">
        <v>1</v>
      </c>
    </row>
    <row r="5003" spans="1:4" x14ac:dyDescent="0.25">
      <c r="A5003" t="str">
        <f>T("   846890")</f>
        <v xml:space="preserve">   846890</v>
      </c>
      <c r="B5003" t="str">
        <f>T("   Parties de machines et appareils pour le brasage, le soudage, la trempe artificielle non-électriques, n.d.a.")</f>
        <v xml:space="preserve">   Parties de machines et appareils pour le brasage, le soudage, la trempe artificielle non-électriques, n.d.a.</v>
      </c>
      <c r="C5003">
        <v>5172338</v>
      </c>
      <c r="D5003">
        <v>811</v>
      </c>
    </row>
    <row r="5004" spans="1:4" x14ac:dyDescent="0.25">
      <c r="A5004" t="str">
        <f>T("   847010")</f>
        <v xml:space="preserve">   847010</v>
      </c>
      <c r="B5004" t="s">
        <v>457</v>
      </c>
      <c r="C5004">
        <v>3890586</v>
      </c>
      <c r="D5004">
        <v>311</v>
      </c>
    </row>
    <row r="5005" spans="1:4" x14ac:dyDescent="0.25">
      <c r="A5005" t="str">
        <f>T("   847029")</f>
        <v xml:space="preserve">   847029</v>
      </c>
      <c r="B5005" t="str">
        <f>T("   Machines à calculer électroniques sans organe imprimant, raccordées au réseau (à l'excl. des machines automatiques de traitement de l'information du n° 8471)")</f>
        <v xml:space="preserve">   Machines à calculer électroniques sans organe imprimant, raccordées au réseau (à l'excl. des machines automatiques de traitement de l'information du n° 8471)</v>
      </c>
      <c r="C5005">
        <v>4514402</v>
      </c>
      <c r="D5005">
        <v>524</v>
      </c>
    </row>
    <row r="5006" spans="1:4" x14ac:dyDescent="0.25">
      <c r="A5006" t="str">
        <f>T("   847030")</f>
        <v xml:space="preserve">   847030</v>
      </c>
      <c r="B5006" t="str">
        <f>T("   Machines à calculer autres qu'électroniques")</f>
        <v xml:space="preserve">   Machines à calculer autres qu'électroniques</v>
      </c>
      <c r="C5006">
        <v>48239</v>
      </c>
      <c r="D5006">
        <v>799</v>
      </c>
    </row>
    <row r="5007" spans="1:4" x14ac:dyDescent="0.25">
      <c r="A5007" t="str">
        <f>T("   847090")</f>
        <v xml:space="preserve">   847090</v>
      </c>
      <c r="B5007"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5007">
        <v>1588079</v>
      </c>
      <c r="D5007">
        <v>2580</v>
      </c>
    </row>
    <row r="5008" spans="1:4" x14ac:dyDescent="0.25">
      <c r="A5008" t="str">
        <f>T("   847110")</f>
        <v xml:space="preserve">   847110</v>
      </c>
      <c r="B5008" t="str">
        <f>T("   Machines automatiques de traitement de l'information, analogiques ou hybrides")</f>
        <v xml:space="preserve">   Machines automatiques de traitement de l'information, analogiques ou hybrides</v>
      </c>
      <c r="C5008">
        <v>2328658</v>
      </c>
      <c r="D5008">
        <v>8580</v>
      </c>
    </row>
    <row r="5009" spans="1:4" x14ac:dyDescent="0.25">
      <c r="A5009" t="str">
        <f>T("   847130")</f>
        <v xml:space="preserve">   847130</v>
      </c>
      <c r="B5009"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5009">
        <v>65389909</v>
      </c>
      <c r="D5009">
        <v>21309.5</v>
      </c>
    </row>
    <row r="5010" spans="1:4" x14ac:dyDescent="0.25">
      <c r="A5010" t="str">
        <f>T("   847141")</f>
        <v xml:space="preserve">   847141</v>
      </c>
      <c r="B5010" t="s">
        <v>458</v>
      </c>
      <c r="C5010">
        <v>90772116</v>
      </c>
      <c r="D5010">
        <v>17244</v>
      </c>
    </row>
    <row r="5011" spans="1:4" x14ac:dyDescent="0.25">
      <c r="A5011" t="str">
        <f>T("   847149")</f>
        <v xml:space="preserve">   847149</v>
      </c>
      <c r="B5011" t="s">
        <v>459</v>
      </c>
      <c r="C5011">
        <v>312481496</v>
      </c>
      <c r="D5011">
        <v>36764.26</v>
      </c>
    </row>
    <row r="5012" spans="1:4" x14ac:dyDescent="0.25">
      <c r="A5012" t="str">
        <f>T("   847150")</f>
        <v xml:space="preserve">   847150</v>
      </c>
      <c r="B5012" t="s">
        <v>460</v>
      </c>
      <c r="C5012">
        <v>4620677</v>
      </c>
      <c r="D5012">
        <v>59</v>
      </c>
    </row>
    <row r="5013" spans="1:4" x14ac:dyDescent="0.25">
      <c r="A5013" t="str">
        <f>T("   847160")</f>
        <v xml:space="preserve">   847160</v>
      </c>
      <c r="B5013"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013">
        <v>8486198</v>
      </c>
      <c r="D5013">
        <v>178</v>
      </c>
    </row>
    <row r="5014" spans="1:4" x14ac:dyDescent="0.25">
      <c r="A5014" t="str">
        <f>T("   847170")</f>
        <v xml:space="preserve">   847170</v>
      </c>
      <c r="B5014" t="str">
        <f>T("   UNITÉS DE MÉMOIRE POUR MACHINES AUTOMATIQUES DE TRAITEMENT DE L'INFORMATION")</f>
        <v xml:space="preserve">   UNITÉS DE MÉMOIRE POUR MACHINES AUTOMATIQUES DE TRAITEMENT DE L'INFORMATION</v>
      </c>
      <c r="C5014">
        <v>5463137</v>
      </c>
      <c r="D5014">
        <v>106</v>
      </c>
    </row>
    <row r="5015" spans="1:4" x14ac:dyDescent="0.25">
      <c r="A5015" t="str">
        <f>T("   847180")</f>
        <v xml:space="preserve">   847180</v>
      </c>
      <c r="B501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015">
        <v>1146319871</v>
      </c>
      <c r="D5015">
        <v>157602.70000000001</v>
      </c>
    </row>
    <row r="5016" spans="1:4" x14ac:dyDescent="0.25">
      <c r="A5016" t="str">
        <f>T("   847190")</f>
        <v xml:space="preserve">   847190</v>
      </c>
      <c r="B501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016">
        <v>801125127</v>
      </c>
      <c r="D5016">
        <v>72423.42</v>
      </c>
    </row>
    <row r="5017" spans="1:4" x14ac:dyDescent="0.25">
      <c r="A5017" t="str">
        <f>T("   847192")</f>
        <v xml:space="preserve">   847192</v>
      </c>
      <c r="B5017" t="str">
        <f>T("   UNITES D'ENTREE OU DE SORTIE POUR MACHINES AUTOMATIQUES DE TRAITEMENT DE L'INFORMATION, NUMÉRIQUES")</f>
        <v xml:space="preserve">   UNITES D'ENTREE OU DE SORTIE POUR MACHINES AUTOMATIQUES DE TRAITEMENT DE L'INFORMATION, NUMÉRIQUES</v>
      </c>
      <c r="C5017">
        <v>6913818</v>
      </c>
      <c r="D5017">
        <v>3802</v>
      </c>
    </row>
    <row r="5018" spans="1:4" x14ac:dyDescent="0.25">
      <c r="A5018" t="str">
        <f>T("   847230")</f>
        <v xml:space="preserve">   847230</v>
      </c>
      <c r="B5018" t="str">
        <f>T("   Machines pour le triage, le pliage, la mise sous enveloppe ou sous bande de courrier, machines à ouvrir, fermer ou sceller la correspondance et machines à apposer ou à oblitérer les timbres")</f>
        <v xml:space="preserve">   Machines pour le triage, le pliage, la mise sous enveloppe ou sous bande de courrier, machines à ouvrir, fermer ou sceller la correspondance et machines à apposer ou à oblitérer les timbres</v>
      </c>
      <c r="C5018">
        <v>144967</v>
      </c>
      <c r="D5018">
        <v>85</v>
      </c>
    </row>
    <row r="5019" spans="1:4" x14ac:dyDescent="0.25">
      <c r="A5019" t="str">
        <f>T("   847290")</f>
        <v xml:space="preserve">   847290</v>
      </c>
      <c r="B5019" t="str">
        <f>T("   Machines et appareils de bureau, n.d.a.")</f>
        <v xml:space="preserve">   Machines et appareils de bureau, n.d.a.</v>
      </c>
      <c r="C5019">
        <v>33310849</v>
      </c>
      <c r="D5019">
        <v>11568</v>
      </c>
    </row>
    <row r="5020" spans="1:4" x14ac:dyDescent="0.25">
      <c r="A5020" t="str">
        <f>T("   847310")</f>
        <v xml:space="preserve">   847310</v>
      </c>
      <c r="B5020" t="str">
        <f>T("   Parties et accessoires des machines à écrire ou machines pour le traitement de textes du n° 8469, n.d.a.")</f>
        <v xml:space="preserve">   Parties et accessoires des machines à écrire ou machines pour le traitement de textes du n° 8469, n.d.a.</v>
      </c>
      <c r="C5020">
        <v>5042989</v>
      </c>
      <c r="D5020">
        <v>1972</v>
      </c>
    </row>
    <row r="5021" spans="1:4" x14ac:dyDescent="0.25">
      <c r="A5021" t="str">
        <f>T("   847329")</f>
        <v xml:space="preserve">   847329</v>
      </c>
      <c r="B5021" t="str">
        <f>T("   Parties et accessoires pour machines à calculer non-électroniques, machines comptables, caisses enregistreuses ou pour autres machines à dispositif de calcul du n° 8470, n.d.a.")</f>
        <v xml:space="preserve">   Parties et accessoires pour machines à calculer non-électroniques, machines comptables, caisses enregistreuses ou pour autres machines à dispositif de calcul du n° 8470, n.d.a.</v>
      </c>
      <c r="C5021">
        <v>2139446</v>
      </c>
      <c r="D5021">
        <v>1836</v>
      </c>
    </row>
    <row r="5022" spans="1:4" x14ac:dyDescent="0.25">
      <c r="A5022" t="str">
        <f>T("   847330")</f>
        <v xml:space="preserve">   847330</v>
      </c>
      <c r="B5022" t="str">
        <f>T("   Parties et accessoires pour machines automatiques de traitement de l'information ou pour autres machines du n° 8471, n.d.a.")</f>
        <v xml:space="preserve">   Parties et accessoires pour machines automatiques de traitement de l'information ou pour autres machines du n° 8471, n.d.a.</v>
      </c>
      <c r="C5022">
        <v>45242230</v>
      </c>
      <c r="D5022">
        <v>18420</v>
      </c>
    </row>
    <row r="5023" spans="1:4" x14ac:dyDescent="0.25">
      <c r="A5023" t="str">
        <f>T("   847340")</f>
        <v xml:space="preserve">   847340</v>
      </c>
      <c r="B5023" t="str">
        <f>T("   Parties et accessoires pour autres machines et appareils de bureau du n° 8472, n.d.a.")</f>
        <v xml:space="preserve">   Parties et accessoires pour autres machines et appareils de bureau du n° 8472, n.d.a.</v>
      </c>
      <c r="C5023">
        <v>208817495</v>
      </c>
      <c r="D5023">
        <v>583</v>
      </c>
    </row>
    <row r="5024" spans="1:4" x14ac:dyDescent="0.25">
      <c r="A5024" t="str">
        <f>T("   847350")</f>
        <v xml:space="preserve">   847350</v>
      </c>
      <c r="B5024"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5024">
        <v>5670950</v>
      </c>
      <c r="D5024">
        <v>435</v>
      </c>
    </row>
    <row r="5025" spans="1:4" x14ac:dyDescent="0.25">
      <c r="A5025" t="str">
        <f>T("   847410")</f>
        <v xml:space="preserve">   847410</v>
      </c>
      <c r="B5025"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5025">
        <v>379171</v>
      </c>
      <c r="D5025">
        <v>2</v>
      </c>
    </row>
    <row r="5026" spans="1:4" x14ac:dyDescent="0.25">
      <c r="A5026" t="str">
        <f>T("   847420")</f>
        <v xml:space="preserve">   847420</v>
      </c>
      <c r="B5026" t="str">
        <f>T("   Machines et appareils à concasser, broyer ou pulvériser les matières minérales solides")</f>
        <v xml:space="preserve">   Machines et appareils à concasser, broyer ou pulvériser les matières minérales solides</v>
      </c>
      <c r="C5026">
        <v>1680986</v>
      </c>
      <c r="D5026">
        <v>493</v>
      </c>
    </row>
    <row r="5027" spans="1:4" x14ac:dyDescent="0.25">
      <c r="A5027" t="str">
        <f>T("   847431")</f>
        <v xml:space="preserve">   847431</v>
      </c>
      <c r="B5027"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5027">
        <v>10900743</v>
      </c>
      <c r="D5027">
        <v>260</v>
      </c>
    </row>
    <row r="5028" spans="1:4" x14ac:dyDescent="0.25">
      <c r="A5028" t="str">
        <f>T("   847439")</f>
        <v xml:space="preserve">   847439</v>
      </c>
      <c r="B5028"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5028">
        <v>1926555</v>
      </c>
      <c r="D5028">
        <v>121</v>
      </c>
    </row>
    <row r="5029" spans="1:4" x14ac:dyDescent="0.25">
      <c r="A5029" t="str">
        <f>T("   847480")</f>
        <v xml:space="preserve">   847480</v>
      </c>
      <c r="B5029" t="s">
        <v>462</v>
      </c>
      <c r="C5029">
        <v>7334995</v>
      </c>
      <c r="D5029">
        <v>175</v>
      </c>
    </row>
    <row r="5030" spans="1:4" x14ac:dyDescent="0.25">
      <c r="A5030" t="str">
        <f>T("   847490")</f>
        <v xml:space="preserve">   847490</v>
      </c>
      <c r="B5030" t="str">
        <f>T("   Parties des machines et appareils pour le travail des matières minérales du n° 8474, n.d.a.")</f>
        <v xml:space="preserve">   Parties des machines et appareils pour le travail des matières minérales du n° 8474, n.d.a.</v>
      </c>
      <c r="C5030">
        <v>207477759</v>
      </c>
      <c r="D5030">
        <v>50757</v>
      </c>
    </row>
    <row r="5031" spans="1:4" x14ac:dyDescent="0.25">
      <c r="A5031" t="str">
        <f>T("   847621")</f>
        <v xml:space="preserve">   847621</v>
      </c>
      <c r="B5031" t="str">
        <f>T("   Machines automatiques de vente de boissons, comportant un dispositif de chauffage ou de réfrigération")</f>
        <v xml:space="preserve">   Machines automatiques de vente de boissons, comportant un dispositif de chauffage ou de réfrigération</v>
      </c>
      <c r="C5031">
        <v>701675</v>
      </c>
      <c r="D5031">
        <v>25</v>
      </c>
    </row>
    <row r="5032" spans="1:4" x14ac:dyDescent="0.25">
      <c r="A5032" t="str">
        <f>T("   847780")</f>
        <v xml:space="preserve">   847780</v>
      </c>
      <c r="B5032"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5032">
        <v>200000</v>
      </c>
      <c r="D5032">
        <v>7</v>
      </c>
    </row>
    <row r="5033" spans="1:4" x14ac:dyDescent="0.25">
      <c r="A5033" t="str">
        <f>T("   847910")</f>
        <v xml:space="preserve">   847910</v>
      </c>
      <c r="B5033" t="str">
        <f>T("   Machines et appareils pour les travaux publics, le bâtiment ou les travaux analogues, n.d.a.")</f>
        <v xml:space="preserve">   Machines et appareils pour les travaux publics, le bâtiment ou les travaux analogues, n.d.a.</v>
      </c>
      <c r="C5033">
        <v>197314</v>
      </c>
      <c r="D5033">
        <v>79</v>
      </c>
    </row>
    <row r="5034" spans="1:4" x14ac:dyDescent="0.25">
      <c r="A5034" t="str">
        <f>T("   847950")</f>
        <v xml:space="preserve">   847950</v>
      </c>
      <c r="B5034" t="str">
        <f>T("   Robots industriels, n.d.a.")</f>
        <v xml:space="preserve">   Robots industriels, n.d.a.</v>
      </c>
      <c r="C5034">
        <v>2777334</v>
      </c>
      <c r="D5034">
        <v>108</v>
      </c>
    </row>
    <row r="5035" spans="1:4" x14ac:dyDescent="0.25">
      <c r="A5035" t="str">
        <f>T("   847989")</f>
        <v xml:space="preserve">   847989</v>
      </c>
      <c r="B5035" t="str">
        <f>T("   Machines et appareils, y.c. les appareils mécaniques, n.d.a.")</f>
        <v xml:space="preserve">   Machines et appareils, y.c. les appareils mécaniques, n.d.a.</v>
      </c>
      <c r="C5035">
        <v>391329616</v>
      </c>
      <c r="D5035">
        <v>58147</v>
      </c>
    </row>
    <row r="5036" spans="1:4" x14ac:dyDescent="0.25">
      <c r="A5036" t="str">
        <f>T("   847990")</f>
        <v xml:space="preserve">   847990</v>
      </c>
      <c r="B5036" t="str">
        <f>T("   Parties de machines et appareils, y.c. les appareils mécaniques, n.d.a.")</f>
        <v xml:space="preserve">   Parties de machines et appareils, y.c. les appareils mécaniques, n.d.a.</v>
      </c>
      <c r="C5036">
        <v>70269729</v>
      </c>
      <c r="D5036">
        <v>10081</v>
      </c>
    </row>
    <row r="5037" spans="1:4" x14ac:dyDescent="0.25">
      <c r="A5037" t="str">
        <f>T("   848079")</f>
        <v xml:space="preserve">   848079</v>
      </c>
      <c r="B5037" t="s">
        <v>466</v>
      </c>
      <c r="C5037">
        <v>1255507</v>
      </c>
      <c r="D5037">
        <v>282</v>
      </c>
    </row>
    <row r="5038" spans="1:4" x14ac:dyDescent="0.25">
      <c r="A5038" t="str">
        <f>T("   848110")</f>
        <v xml:space="preserve">   848110</v>
      </c>
      <c r="B5038" t="str">
        <f>T("   Détendeurs")</f>
        <v xml:space="preserve">   Détendeurs</v>
      </c>
      <c r="C5038">
        <v>2255769</v>
      </c>
      <c r="D5038">
        <v>199</v>
      </c>
    </row>
    <row r="5039" spans="1:4" x14ac:dyDescent="0.25">
      <c r="A5039" t="str">
        <f>T("   848120")</f>
        <v xml:space="preserve">   848120</v>
      </c>
      <c r="B5039" t="str">
        <f>T("   Valves pour transmissions oléohydrauliques ou pneumatiques")</f>
        <v xml:space="preserve">   Valves pour transmissions oléohydrauliques ou pneumatiques</v>
      </c>
      <c r="C5039">
        <v>16322450</v>
      </c>
      <c r="D5039">
        <v>609</v>
      </c>
    </row>
    <row r="5040" spans="1:4" x14ac:dyDescent="0.25">
      <c r="A5040" t="str">
        <f>T("   848130")</f>
        <v xml:space="preserve">   848130</v>
      </c>
      <c r="B5040" t="str">
        <f>T("   Clapets et soupapes de retenue, pour tuyauteries, chaudières, réservoirs, cuves ou contenants simil.")</f>
        <v xml:space="preserve">   Clapets et soupapes de retenue, pour tuyauteries, chaudières, réservoirs, cuves ou contenants simil.</v>
      </c>
      <c r="C5040">
        <v>19546111</v>
      </c>
      <c r="D5040">
        <v>3958</v>
      </c>
    </row>
    <row r="5041" spans="1:4" x14ac:dyDescent="0.25">
      <c r="A5041" t="str">
        <f>T("   848140")</f>
        <v xml:space="preserve">   848140</v>
      </c>
      <c r="B5041" t="str">
        <f>T("   Soupapes de trop-plein ou de sûreté")</f>
        <v xml:space="preserve">   Soupapes de trop-plein ou de sûreté</v>
      </c>
      <c r="C5041">
        <v>34803653</v>
      </c>
      <c r="D5041">
        <v>1777.5</v>
      </c>
    </row>
    <row r="5042" spans="1:4" x14ac:dyDescent="0.25">
      <c r="A5042" t="str">
        <f>T("   848180")</f>
        <v xml:space="preserve">   848180</v>
      </c>
      <c r="B504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042">
        <v>546040962</v>
      </c>
      <c r="D5042">
        <v>219617.72</v>
      </c>
    </row>
    <row r="5043" spans="1:4" x14ac:dyDescent="0.25">
      <c r="A5043" t="str">
        <f>T("   848190")</f>
        <v xml:space="preserve">   848190</v>
      </c>
      <c r="B5043" t="str">
        <f>T("   Parties d'articles de robinetterie et organes simil. pour tuyauterie, etc., n.d.a.")</f>
        <v xml:space="preserve">   Parties d'articles de robinetterie et organes simil. pour tuyauterie, etc., n.d.a.</v>
      </c>
      <c r="C5043">
        <v>22672079</v>
      </c>
      <c r="D5043">
        <v>2657</v>
      </c>
    </row>
    <row r="5044" spans="1:4" x14ac:dyDescent="0.25">
      <c r="A5044" t="str">
        <f>T("   848210")</f>
        <v xml:space="preserve">   848210</v>
      </c>
      <c r="B5044" t="str">
        <f>T("   Roulements à billes")</f>
        <v xml:space="preserve">   Roulements à billes</v>
      </c>
      <c r="C5044">
        <v>40749783</v>
      </c>
      <c r="D5044">
        <v>4419</v>
      </c>
    </row>
    <row r="5045" spans="1:4" x14ac:dyDescent="0.25">
      <c r="A5045" t="str">
        <f>T("   848220")</f>
        <v xml:space="preserve">   848220</v>
      </c>
      <c r="B5045" t="str">
        <f>T("   Roulements à rouleaux coniques, y.c. les assemblages de cônes et rouleaux coniques")</f>
        <v xml:space="preserve">   Roulements à rouleaux coniques, y.c. les assemblages de cônes et rouleaux coniques</v>
      </c>
      <c r="C5045">
        <v>12633202</v>
      </c>
      <c r="D5045">
        <v>776</v>
      </c>
    </row>
    <row r="5046" spans="1:4" x14ac:dyDescent="0.25">
      <c r="A5046" t="str">
        <f>T("   848230")</f>
        <v xml:space="preserve">   848230</v>
      </c>
      <c r="B5046" t="str">
        <f>T("   Roulements à rouleaux en forme de tonneau")</f>
        <v xml:space="preserve">   Roulements à rouleaux en forme de tonneau</v>
      </c>
      <c r="C5046">
        <v>2086610</v>
      </c>
      <c r="D5046">
        <v>262</v>
      </c>
    </row>
    <row r="5047" spans="1:4" x14ac:dyDescent="0.25">
      <c r="A5047" t="str">
        <f>T("   848250")</f>
        <v xml:space="preserve">   848250</v>
      </c>
      <c r="B5047" t="str">
        <f>T("   Roulements à rouleaux cylindriques")</f>
        <v xml:space="preserve">   Roulements à rouleaux cylindriques</v>
      </c>
      <c r="C5047">
        <v>829134</v>
      </c>
      <c r="D5047">
        <v>89</v>
      </c>
    </row>
    <row r="5048" spans="1:4" x14ac:dyDescent="0.25">
      <c r="A5048" t="str">
        <f>T("   848280")</f>
        <v xml:space="preserve">   848280</v>
      </c>
      <c r="B5048" t="s">
        <v>467</v>
      </c>
      <c r="C5048">
        <v>34588357</v>
      </c>
      <c r="D5048">
        <v>2695.5</v>
      </c>
    </row>
    <row r="5049" spans="1:4" x14ac:dyDescent="0.25">
      <c r="A5049" t="str">
        <f>T("   848291")</f>
        <v xml:space="preserve">   848291</v>
      </c>
      <c r="B5049" t="str">
        <f>T("   Billes, galets, rouleaux et aiguilles pour roulements (sauf billes en acier du n° 7326)")</f>
        <v xml:space="preserve">   Billes, galets, rouleaux et aiguilles pour roulements (sauf billes en acier du n° 7326)</v>
      </c>
      <c r="C5049">
        <v>11795617</v>
      </c>
      <c r="D5049">
        <v>4827</v>
      </c>
    </row>
    <row r="5050" spans="1:4" x14ac:dyDescent="0.25">
      <c r="A5050" t="str">
        <f>T("   848299")</f>
        <v xml:space="preserve">   848299</v>
      </c>
      <c r="B5050" t="str">
        <f>T("   Parties de roulements à billes, à galets, à rouleaux ou à aiguilles (à l'excl. de leur organe de roulement), n.d.a.")</f>
        <v xml:space="preserve">   Parties de roulements à billes, à galets, à rouleaux ou à aiguilles (à l'excl. de leur organe de roulement), n.d.a.</v>
      </c>
      <c r="C5050">
        <v>25615360</v>
      </c>
      <c r="D5050">
        <v>1231</v>
      </c>
    </row>
    <row r="5051" spans="1:4" x14ac:dyDescent="0.25">
      <c r="A5051" t="str">
        <f>T("   848310")</f>
        <v xml:space="preserve">   848310</v>
      </c>
      <c r="B5051" t="str">
        <f>T("   Arbres de transmission pour machines, y.c. -les arbres à cames et les vilebrequins- et manivelles")</f>
        <v xml:space="preserve">   Arbres de transmission pour machines, y.c. -les arbres à cames et les vilebrequins- et manivelles</v>
      </c>
      <c r="C5051">
        <v>35768811</v>
      </c>
      <c r="D5051">
        <v>361.94</v>
      </c>
    </row>
    <row r="5052" spans="1:4" x14ac:dyDescent="0.25">
      <c r="A5052" t="str">
        <f>T("   848320")</f>
        <v xml:space="preserve">   848320</v>
      </c>
      <c r="B5052" t="str">
        <f>T("   Paliers à roulements incorporés, pour machines")</f>
        <v xml:space="preserve">   Paliers à roulements incorporés, pour machines</v>
      </c>
      <c r="C5052">
        <v>2700292</v>
      </c>
      <c r="D5052">
        <v>83</v>
      </c>
    </row>
    <row r="5053" spans="1:4" x14ac:dyDescent="0.25">
      <c r="A5053" t="str">
        <f>T("   848330")</f>
        <v xml:space="preserve">   848330</v>
      </c>
      <c r="B5053" t="str">
        <f>T("   Paliers pour machines, sans roulements incorporés; coussinets et coquilles de coussinets pour machines")</f>
        <v xml:space="preserve">   Paliers pour machines, sans roulements incorporés; coussinets et coquilles de coussinets pour machines</v>
      </c>
      <c r="C5053">
        <v>10758956</v>
      </c>
      <c r="D5053">
        <v>810</v>
      </c>
    </row>
    <row r="5054" spans="1:4" x14ac:dyDescent="0.25">
      <c r="A5054" t="str">
        <f>T("   848340")</f>
        <v xml:space="preserve">   848340</v>
      </c>
      <c r="B5054" t="s">
        <v>468</v>
      </c>
      <c r="C5054">
        <v>65834895</v>
      </c>
      <c r="D5054">
        <v>8640</v>
      </c>
    </row>
    <row r="5055" spans="1:4" x14ac:dyDescent="0.25">
      <c r="A5055" t="str">
        <f>T("   848350")</f>
        <v xml:space="preserve">   848350</v>
      </c>
      <c r="B5055" t="str">
        <f>T("   Volants et poulies, y.c. les poulies à moufles")</f>
        <v xml:space="preserve">   Volants et poulies, y.c. les poulies à moufles</v>
      </c>
      <c r="C5055">
        <v>6543033</v>
      </c>
      <c r="D5055">
        <v>240.5</v>
      </c>
    </row>
    <row r="5056" spans="1:4" x14ac:dyDescent="0.25">
      <c r="A5056" t="str">
        <f>T("   848360")</f>
        <v xml:space="preserve">   848360</v>
      </c>
      <c r="B5056" t="str">
        <f>T("   Embrayages et organes d'accouplement, y.c. les joints d'articulation, pour machines")</f>
        <v xml:space="preserve">   Embrayages et organes d'accouplement, y.c. les joints d'articulation, pour machines</v>
      </c>
      <c r="C5056">
        <v>15749745</v>
      </c>
      <c r="D5056">
        <v>788.28</v>
      </c>
    </row>
    <row r="5057" spans="1:4" x14ac:dyDescent="0.25">
      <c r="A5057" t="str">
        <f>T("   848390")</f>
        <v xml:space="preserve">   848390</v>
      </c>
      <c r="B505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057">
        <v>3130168</v>
      </c>
      <c r="D5057">
        <v>210</v>
      </c>
    </row>
    <row r="5058" spans="1:4" x14ac:dyDescent="0.25">
      <c r="A5058" t="str">
        <f>T("   848410")</f>
        <v xml:space="preserve">   848410</v>
      </c>
      <c r="B5058" t="str">
        <f>T("   Joints métalloplastiques")</f>
        <v xml:space="preserve">   Joints métalloplastiques</v>
      </c>
      <c r="C5058">
        <v>8948904</v>
      </c>
      <c r="D5058">
        <v>732</v>
      </c>
    </row>
    <row r="5059" spans="1:4" x14ac:dyDescent="0.25">
      <c r="A5059" t="str">
        <f>T("   848420")</f>
        <v xml:space="preserve">   848420</v>
      </c>
      <c r="B5059" t="str">
        <f>T("   Joints d'étanchéité mécaniques")</f>
        <v xml:space="preserve">   Joints d'étanchéité mécaniques</v>
      </c>
      <c r="C5059">
        <v>2593486</v>
      </c>
      <c r="D5059">
        <v>779</v>
      </c>
    </row>
    <row r="5060" spans="1:4" x14ac:dyDescent="0.25">
      <c r="A5060" t="str">
        <f>T("   848490")</f>
        <v xml:space="preserve">   848490</v>
      </c>
      <c r="B5060" t="str">
        <f>T("   Jeux ou assortiments de joints de composition différente présentés en pochettes, enveloppes ou emballages analogues")</f>
        <v xml:space="preserve">   Jeux ou assortiments de joints de composition différente présentés en pochettes, enveloppes ou emballages analogues</v>
      </c>
      <c r="C5060">
        <v>71207793</v>
      </c>
      <c r="D5060">
        <v>3676.57</v>
      </c>
    </row>
    <row r="5061" spans="1:4" x14ac:dyDescent="0.25">
      <c r="A5061" t="str">
        <f>T("   848610")</f>
        <v xml:space="preserve">   848610</v>
      </c>
      <c r="B5061" t="str">
        <f>T("   MACHINES ET APPAREILS POUR LA FABRICATION DE LINGOTS OU DE PLAQUETTES")</f>
        <v xml:space="preserve">   MACHINES ET APPAREILS POUR LA FABRICATION DE LINGOTS OU DE PLAQUETTES</v>
      </c>
      <c r="C5061">
        <v>1119558</v>
      </c>
      <c r="D5061">
        <v>20</v>
      </c>
    </row>
    <row r="5062" spans="1:4" x14ac:dyDescent="0.25">
      <c r="A5062" t="str">
        <f>T("   848690")</f>
        <v xml:space="preserve">   848690</v>
      </c>
      <c r="B5062" t="s">
        <v>469</v>
      </c>
      <c r="C5062">
        <v>1390853</v>
      </c>
      <c r="D5062">
        <v>328.36</v>
      </c>
    </row>
    <row r="5063" spans="1:4" x14ac:dyDescent="0.25">
      <c r="A5063" t="str">
        <f>T("   848790")</f>
        <v xml:space="preserve">   848790</v>
      </c>
      <c r="B5063" t="str">
        <f>T("   PARTIES DE MACHINES ET APPAREILS DU CHAPITRE 84, SANS CARACTÉRISTIQUES SPÉCIALES D'UTILISATION, N.D.A.")</f>
        <v xml:space="preserve">   PARTIES DE MACHINES ET APPAREILS DU CHAPITRE 84, SANS CARACTÉRISTIQUES SPÉCIALES D'UTILISATION, N.D.A.</v>
      </c>
      <c r="C5063">
        <v>1666895</v>
      </c>
      <c r="D5063">
        <v>51.2</v>
      </c>
    </row>
    <row r="5064" spans="1:4" x14ac:dyDescent="0.25">
      <c r="A5064" t="str">
        <f>T("   850110")</f>
        <v xml:space="preserve">   850110</v>
      </c>
      <c r="B5064" t="str">
        <f>T("   Moteurs d'une puissance &lt;= 37,5 W")</f>
        <v xml:space="preserve">   Moteurs d'une puissance &lt;= 37,5 W</v>
      </c>
      <c r="C5064">
        <v>27983255</v>
      </c>
      <c r="D5064">
        <v>1509</v>
      </c>
    </row>
    <row r="5065" spans="1:4" x14ac:dyDescent="0.25">
      <c r="A5065" t="str">
        <f>T("   850120")</f>
        <v xml:space="preserve">   850120</v>
      </c>
      <c r="B5065" t="str">
        <f>T("   Moteurs universels, puissance &gt; 37,5 W")</f>
        <v xml:space="preserve">   Moteurs universels, puissance &gt; 37,5 W</v>
      </c>
      <c r="C5065">
        <v>256290</v>
      </c>
      <c r="D5065">
        <v>1650</v>
      </c>
    </row>
    <row r="5066" spans="1:4" x14ac:dyDescent="0.25">
      <c r="A5066" t="str">
        <f>T("   850131")</f>
        <v xml:space="preserve">   850131</v>
      </c>
      <c r="B5066" t="str">
        <f>T("   Moteurs à courant continu, puissance &lt;= 750 W mais &gt; 37,5 W et génératrices à courant continu, puissance &lt;= 750 W")</f>
        <v xml:space="preserve">   Moteurs à courant continu, puissance &lt;= 750 W mais &gt; 37,5 W et génératrices à courant continu, puissance &lt;= 750 W</v>
      </c>
      <c r="C5066">
        <v>27293000</v>
      </c>
      <c r="D5066">
        <v>36000</v>
      </c>
    </row>
    <row r="5067" spans="1:4" x14ac:dyDescent="0.25">
      <c r="A5067" t="str">
        <f>T("   850132")</f>
        <v xml:space="preserve">   850132</v>
      </c>
      <c r="B5067" t="str">
        <f>T("   Moteurs et génératrices à courant continu, puissance &gt; 750 W mais &lt;= 75 kW")</f>
        <v xml:space="preserve">   Moteurs et génératrices à courant continu, puissance &gt; 750 W mais &lt;= 75 kW</v>
      </c>
      <c r="C5067">
        <v>5427413</v>
      </c>
      <c r="D5067">
        <v>295</v>
      </c>
    </row>
    <row r="5068" spans="1:4" x14ac:dyDescent="0.25">
      <c r="A5068" t="str">
        <f>T("   850134")</f>
        <v xml:space="preserve">   850134</v>
      </c>
      <c r="B5068" t="str">
        <f>T("   Moteurs et génératrices à courant continu, puissance &gt; 375 kW")</f>
        <v xml:space="preserve">   Moteurs et génératrices à courant continu, puissance &gt; 375 kW</v>
      </c>
      <c r="C5068">
        <v>307934</v>
      </c>
      <c r="D5068">
        <v>3</v>
      </c>
    </row>
    <row r="5069" spans="1:4" x14ac:dyDescent="0.25">
      <c r="A5069" t="str">
        <f>T("   850140")</f>
        <v xml:space="preserve">   850140</v>
      </c>
      <c r="B5069" t="str">
        <f>T("   Moteurs à courant alternatif, monophasés")</f>
        <v xml:space="preserve">   Moteurs à courant alternatif, monophasés</v>
      </c>
      <c r="C5069">
        <v>1487049</v>
      </c>
      <c r="D5069">
        <v>120</v>
      </c>
    </row>
    <row r="5070" spans="1:4" x14ac:dyDescent="0.25">
      <c r="A5070" t="str">
        <f>T("   850151")</f>
        <v xml:space="preserve">   850151</v>
      </c>
      <c r="B5070" t="str">
        <f>T("   Moteurs à courant alternatif, polyphasés, puissance &gt; 37,5 W mais &lt;= 750 W")</f>
        <v xml:space="preserve">   Moteurs à courant alternatif, polyphasés, puissance &gt; 37,5 W mais &lt;= 750 W</v>
      </c>
      <c r="C5070">
        <v>21543695</v>
      </c>
      <c r="D5070">
        <v>1102</v>
      </c>
    </row>
    <row r="5071" spans="1:4" x14ac:dyDescent="0.25">
      <c r="A5071" t="str">
        <f>T("   850152")</f>
        <v xml:space="preserve">   850152</v>
      </c>
      <c r="B5071" t="str">
        <f>T("   Moteurs à courant alternatif, polyphasés, puissance &gt; 750 W mais &lt;= 75 kW")</f>
        <v xml:space="preserve">   Moteurs à courant alternatif, polyphasés, puissance &gt; 750 W mais &lt;= 75 kW</v>
      </c>
      <c r="C5071">
        <v>39977230</v>
      </c>
      <c r="D5071">
        <v>3844</v>
      </c>
    </row>
    <row r="5072" spans="1:4" x14ac:dyDescent="0.25">
      <c r="A5072" t="str">
        <f>T("   850153")</f>
        <v xml:space="preserve">   850153</v>
      </c>
      <c r="B5072" t="str">
        <f>T("   Moteurs à courant alternatif, polyphasés, puissance &gt; 75 kW")</f>
        <v xml:space="preserve">   Moteurs à courant alternatif, polyphasés, puissance &gt; 75 kW</v>
      </c>
      <c r="C5072">
        <v>17249780</v>
      </c>
      <c r="D5072">
        <v>2008</v>
      </c>
    </row>
    <row r="5073" spans="1:4" x14ac:dyDescent="0.25">
      <c r="A5073" t="str">
        <f>T("   850163")</f>
        <v xml:space="preserve">   850163</v>
      </c>
      <c r="B5073" t="str">
        <f>T("   Alternateurs, puissance &gt; 375 kVA mais &lt;= 750 kVA")</f>
        <v xml:space="preserve">   Alternateurs, puissance &gt; 375 kVA mais &lt;= 750 kVA</v>
      </c>
      <c r="C5073">
        <v>506040</v>
      </c>
      <c r="D5073">
        <v>27</v>
      </c>
    </row>
    <row r="5074" spans="1:4" x14ac:dyDescent="0.25">
      <c r="A5074" t="str">
        <f>T("   850164")</f>
        <v xml:space="preserve">   850164</v>
      </c>
      <c r="B5074" t="str">
        <f>T("   Alternateurs, puissance &gt; 750 kVA")</f>
        <v xml:space="preserve">   Alternateurs, puissance &gt; 750 kVA</v>
      </c>
      <c r="C5074">
        <v>50725531</v>
      </c>
      <c r="D5074">
        <v>2214</v>
      </c>
    </row>
    <row r="5075" spans="1:4" x14ac:dyDescent="0.25">
      <c r="A5075" t="str">
        <f>T("   850211")</f>
        <v xml:space="preserve">   850211</v>
      </c>
      <c r="B5075" t="s">
        <v>470</v>
      </c>
      <c r="C5075">
        <v>696508052</v>
      </c>
      <c r="D5075">
        <v>123438.55</v>
      </c>
    </row>
    <row r="5076" spans="1:4" x14ac:dyDescent="0.25">
      <c r="A5076" t="str">
        <f>T("   850212")</f>
        <v xml:space="preserve">   850212</v>
      </c>
      <c r="B507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076">
        <v>194540788</v>
      </c>
      <c r="D5076">
        <v>34167</v>
      </c>
    </row>
    <row r="5077" spans="1:4" x14ac:dyDescent="0.25">
      <c r="A5077" t="str">
        <f>T("   850213")</f>
        <v xml:space="preserve">   850213</v>
      </c>
      <c r="B5077" t="s">
        <v>471</v>
      </c>
      <c r="C5077">
        <v>222418763</v>
      </c>
      <c r="D5077">
        <v>27483</v>
      </c>
    </row>
    <row r="5078" spans="1:4" x14ac:dyDescent="0.25">
      <c r="A5078" t="str">
        <f>T("   850220")</f>
        <v xml:space="preserve">   850220</v>
      </c>
      <c r="B5078" t="s">
        <v>472</v>
      </c>
      <c r="C5078">
        <v>2601538</v>
      </c>
      <c r="D5078">
        <v>635</v>
      </c>
    </row>
    <row r="5079" spans="1:4" x14ac:dyDescent="0.25">
      <c r="A5079" t="str">
        <f>T("   850239")</f>
        <v xml:space="preserve">   850239</v>
      </c>
      <c r="B5079" t="str">
        <f>T("   Groupes électrogènes (autres qu'à énergie éolienne et à moteurs à piston)")</f>
        <v xml:space="preserve">   Groupes électrogènes (autres qu'à énergie éolienne et à moteurs à piston)</v>
      </c>
      <c r="C5079">
        <v>62691990</v>
      </c>
      <c r="D5079">
        <v>27918</v>
      </c>
    </row>
    <row r="5080" spans="1:4" x14ac:dyDescent="0.25">
      <c r="A5080" t="str">
        <f>T("   850240")</f>
        <v xml:space="preserve">   850240</v>
      </c>
      <c r="B5080" t="str">
        <f>T("   Convertisseurs rotatifs électriques")</f>
        <v xml:space="preserve">   Convertisseurs rotatifs électriques</v>
      </c>
      <c r="C5080">
        <v>12537712</v>
      </c>
      <c r="D5080">
        <v>1432</v>
      </c>
    </row>
    <row r="5081" spans="1:4" x14ac:dyDescent="0.25">
      <c r="A5081" t="str">
        <f>T("   850300")</f>
        <v xml:space="preserve">   850300</v>
      </c>
      <c r="B508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5081">
        <v>100369336</v>
      </c>
      <c r="D5081">
        <v>3557.1</v>
      </c>
    </row>
    <row r="5082" spans="1:4" x14ac:dyDescent="0.25">
      <c r="A5082" t="str">
        <f>T("   850410")</f>
        <v xml:space="preserve">   850410</v>
      </c>
      <c r="B5082" t="str">
        <f>T("   Ballasts pour lampes ou tubes à décharge")</f>
        <v xml:space="preserve">   Ballasts pour lampes ou tubes à décharge</v>
      </c>
      <c r="C5082">
        <v>5842421</v>
      </c>
      <c r="D5082">
        <v>349.4</v>
      </c>
    </row>
    <row r="5083" spans="1:4" x14ac:dyDescent="0.25">
      <c r="A5083" t="str">
        <f>T("   850421")</f>
        <v xml:space="preserve">   850421</v>
      </c>
      <c r="B5083" t="str">
        <f>T("   Transformateurs à diélectrique liquide, puissance &lt;= 650 kVA")</f>
        <v xml:space="preserve">   Transformateurs à diélectrique liquide, puissance &lt;= 650 kVA</v>
      </c>
      <c r="C5083">
        <v>24529624</v>
      </c>
      <c r="D5083">
        <v>5629</v>
      </c>
    </row>
    <row r="5084" spans="1:4" x14ac:dyDescent="0.25">
      <c r="A5084" t="str">
        <f>T("   850422")</f>
        <v xml:space="preserve">   850422</v>
      </c>
      <c r="B5084" t="str">
        <f>T("   Transformateurs à diélectrique liquide, puissance &gt; 650 kVA mais &lt;= 10.000 kVA")</f>
        <v xml:space="preserve">   Transformateurs à diélectrique liquide, puissance &gt; 650 kVA mais &lt;= 10.000 kVA</v>
      </c>
      <c r="C5084">
        <v>32960022</v>
      </c>
      <c r="D5084">
        <v>10220</v>
      </c>
    </row>
    <row r="5085" spans="1:4" x14ac:dyDescent="0.25">
      <c r="A5085" t="str">
        <f>T("   850431")</f>
        <v xml:space="preserve">   850431</v>
      </c>
      <c r="B5085" t="str">
        <f>T("   Transformateurs à sec, puissance &lt;= 1 kVA")</f>
        <v xml:space="preserve">   Transformateurs à sec, puissance &lt;= 1 kVA</v>
      </c>
      <c r="C5085">
        <v>4161388</v>
      </c>
      <c r="D5085">
        <v>394</v>
      </c>
    </row>
    <row r="5086" spans="1:4" x14ac:dyDescent="0.25">
      <c r="A5086" t="str">
        <f>T("   850432")</f>
        <v xml:space="preserve">   850432</v>
      </c>
      <c r="B5086" t="str">
        <f>T("   Transformateurs à sec, puissance &gt; 1 kVA mais &lt;= 16 kVA")</f>
        <v xml:space="preserve">   Transformateurs à sec, puissance &gt; 1 kVA mais &lt;= 16 kVA</v>
      </c>
      <c r="C5086">
        <v>39337540</v>
      </c>
      <c r="D5086">
        <v>3543</v>
      </c>
    </row>
    <row r="5087" spans="1:4" x14ac:dyDescent="0.25">
      <c r="A5087" t="str">
        <f>T("   850433")</f>
        <v xml:space="preserve">   850433</v>
      </c>
      <c r="B5087" t="str">
        <f>T("   Transformateurs à sec, puissance &gt; 16 kVA mais &lt;= 500 kVA")</f>
        <v xml:space="preserve">   Transformateurs à sec, puissance &gt; 16 kVA mais &lt;= 500 kVA</v>
      </c>
      <c r="C5087">
        <v>29324207</v>
      </c>
      <c r="D5087">
        <v>4480</v>
      </c>
    </row>
    <row r="5088" spans="1:4" x14ac:dyDescent="0.25">
      <c r="A5088" t="str">
        <f>T("   850434")</f>
        <v xml:space="preserve">   850434</v>
      </c>
      <c r="B5088" t="str">
        <f>T("   Transformateurs à sec, puissance &gt; 500 kVA")</f>
        <v xml:space="preserve">   Transformateurs à sec, puissance &gt; 500 kVA</v>
      </c>
      <c r="C5088">
        <v>1014295</v>
      </c>
      <c r="D5088">
        <v>1002</v>
      </c>
    </row>
    <row r="5089" spans="1:4" x14ac:dyDescent="0.25">
      <c r="A5089" t="str">
        <f>T("   850440")</f>
        <v xml:space="preserve">   850440</v>
      </c>
      <c r="B5089" t="str">
        <f>T("   CONVERTISSEURS STATIQUES")</f>
        <v xml:space="preserve">   CONVERTISSEURS STATIQUES</v>
      </c>
      <c r="C5089">
        <v>526168309</v>
      </c>
      <c r="D5089">
        <v>34746.6</v>
      </c>
    </row>
    <row r="5090" spans="1:4" x14ac:dyDescent="0.25">
      <c r="A5090" t="str">
        <f>T("   850450")</f>
        <v xml:space="preserve">   850450</v>
      </c>
      <c r="B5090" t="str">
        <f>T("   Bobines de réactance et autres selfs (autres que pour lampes ou tubes à décharge)")</f>
        <v xml:space="preserve">   Bobines de réactance et autres selfs (autres que pour lampes ou tubes à décharge)</v>
      </c>
      <c r="C5090">
        <v>1244669</v>
      </c>
      <c r="D5090">
        <v>504.5</v>
      </c>
    </row>
    <row r="5091" spans="1:4" x14ac:dyDescent="0.25">
      <c r="A5091" t="str">
        <f>T("   850490")</f>
        <v xml:space="preserve">   850490</v>
      </c>
      <c r="B5091" t="str">
        <f>T("   Parties de transformateurs, de bobines de réactance et selfs n.d.a.")</f>
        <v xml:space="preserve">   Parties de transformateurs, de bobines de réactance et selfs n.d.a.</v>
      </c>
      <c r="C5091">
        <v>10243537</v>
      </c>
      <c r="D5091">
        <v>701</v>
      </c>
    </row>
    <row r="5092" spans="1:4" x14ac:dyDescent="0.25">
      <c r="A5092" t="str">
        <f>T("   850520")</f>
        <v xml:space="preserve">   850520</v>
      </c>
      <c r="B5092" t="str">
        <f>T("   Accouplements, embrayages, variateurs de vitesse et freins électromagnétiques")</f>
        <v xml:space="preserve">   Accouplements, embrayages, variateurs de vitesse et freins électromagnétiques</v>
      </c>
      <c r="C5092">
        <v>8859440</v>
      </c>
      <c r="D5092">
        <v>242</v>
      </c>
    </row>
    <row r="5093" spans="1:4" x14ac:dyDescent="0.25">
      <c r="A5093" t="str">
        <f>T("   850610")</f>
        <v xml:space="preserve">   850610</v>
      </c>
      <c r="B5093" t="str">
        <f>T("   Piles et batteries de piles électriques, au bioxyde de manganèse (sauf hors d'usage)")</f>
        <v xml:space="preserve">   Piles et batteries de piles électriques, au bioxyde de manganèse (sauf hors d'usage)</v>
      </c>
      <c r="C5093">
        <v>4683648</v>
      </c>
      <c r="D5093">
        <v>6471</v>
      </c>
    </row>
    <row r="5094" spans="1:4" x14ac:dyDescent="0.25">
      <c r="A5094" t="str">
        <f>T("   850650")</f>
        <v xml:space="preserve">   850650</v>
      </c>
      <c r="B5094" t="str">
        <f>T("   Piles et batteries de piles électriques, au lithium (sauf hors d'usage)")</f>
        <v xml:space="preserve">   Piles et batteries de piles électriques, au lithium (sauf hors d'usage)</v>
      </c>
      <c r="C5094">
        <v>66829</v>
      </c>
      <c r="D5094">
        <v>2</v>
      </c>
    </row>
    <row r="5095" spans="1:4" x14ac:dyDescent="0.25">
      <c r="A5095" t="str">
        <f>T("   850680")</f>
        <v xml:space="preserve">   850680</v>
      </c>
      <c r="B5095"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095">
        <v>7453381</v>
      </c>
      <c r="D5095">
        <v>643</v>
      </c>
    </row>
    <row r="5096" spans="1:4" x14ac:dyDescent="0.25">
      <c r="A5096" t="str">
        <f>T("   850690")</f>
        <v xml:space="preserve">   850690</v>
      </c>
      <c r="B5096" t="str">
        <f>T("   Parties de piles et batteries de piles électriques n.d.a.")</f>
        <v xml:space="preserve">   Parties de piles et batteries de piles électriques n.d.a.</v>
      </c>
      <c r="C5096">
        <v>6119200</v>
      </c>
      <c r="D5096">
        <v>14460</v>
      </c>
    </row>
    <row r="5097" spans="1:4" x14ac:dyDescent="0.25">
      <c r="A5097" t="str">
        <f>T("   850710")</f>
        <v xml:space="preserve">   850710</v>
      </c>
      <c r="B5097" t="str">
        <f>T("   Accumulateurs au plomb, pour le démarrage des moteurs à piston (sauf hors d'usage)")</f>
        <v xml:space="preserve">   Accumulateurs au plomb, pour le démarrage des moteurs à piston (sauf hors d'usage)</v>
      </c>
      <c r="C5097">
        <v>41628284</v>
      </c>
      <c r="D5097">
        <v>14435</v>
      </c>
    </row>
    <row r="5098" spans="1:4" x14ac:dyDescent="0.25">
      <c r="A5098" t="str">
        <f>T("   850720")</f>
        <v xml:space="preserve">   850720</v>
      </c>
      <c r="B5098" t="str">
        <f>T("   Accumulateurs au plomb (sauf hors d'usage et autres que pour le démarrage des moteurs à piston)")</f>
        <v xml:space="preserve">   Accumulateurs au plomb (sauf hors d'usage et autres que pour le démarrage des moteurs à piston)</v>
      </c>
      <c r="C5098">
        <v>24477501</v>
      </c>
      <c r="D5098">
        <v>3466</v>
      </c>
    </row>
    <row r="5099" spans="1:4" x14ac:dyDescent="0.25">
      <c r="A5099" t="str">
        <f>T("   850780")</f>
        <v xml:space="preserve">   850780</v>
      </c>
      <c r="B5099" t="str">
        <f>T("   Accumulateurs électriques (sauf hors d'usage et autres qu'au plomb, au nickel-cadmium ou au nickel-fer)")</f>
        <v xml:space="preserve">   Accumulateurs électriques (sauf hors d'usage et autres qu'au plomb, au nickel-cadmium ou au nickel-fer)</v>
      </c>
      <c r="C5099">
        <v>179286428</v>
      </c>
      <c r="D5099">
        <v>56524</v>
      </c>
    </row>
    <row r="5100" spans="1:4" x14ac:dyDescent="0.25">
      <c r="A5100" t="str">
        <f>T("   850790")</f>
        <v xml:space="preserve">   850790</v>
      </c>
      <c r="B5100" t="str">
        <f>T("   Plaques, séparateurs et autres parties d'accumulateurs électriques n.d.a.")</f>
        <v xml:space="preserve">   Plaques, séparateurs et autres parties d'accumulateurs électriques n.d.a.</v>
      </c>
      <c r="C5100">
        <v>107105</v>
      </c>
      <c r="D5100">
        <v>7</v>
      </c>
    </row>
    <row r="5101" spans="1:4" x14ac:dyDescent="0.25">
      <c r="A5101" t="str">
        <f>T("   850860")</f>
        <v xml:space="preserve">   850860</v>
      </c>
      <c r="B5101" t="str">
        <f>T("   ASPIRATEURS, Y.C. LES ASPIRATEURS DE MATIÈRES SÈCHES ET DE MATIÈRES LIQUIDES (À L'EXCL. DES ASPIRATEURS À MOTEUR ÉLECTRIQUE INCORPORÉ)")</f>
        <v xml:space="preserve">   ASPIRATEURS, Y.C. LES ASPIRATEURS DE MATIÈRES SÈCHES ET DE MATIÈRES LIQUIDES (À L'EXCL. DES ASPIRATEURS À MOTEUR ÉLECTRIQUE INCORPORÉ)</v>
      </c>
      <c r="C5101">
        <v>1018707</v>
      </c>
      <c r="D5101">
        <v>62</v>
      </c>
    </row>
    <row r="5102" spans="1:4" x14ac:dyDescent="0.25">
      <c r="A5102" t="str">
        <f>T("   850870")</f>
        <v xml:space="preserve">   850870</v>
      </c>
      <c r="B5102" t="str">
        <f>T("   PARTIES D'ASPIRATEURS, N.D.A.")</f>
        <v xml:space="preserve">   PARTIES D'ASPIRATEURS, N.D.A.</v>
      </c>
      <c r="C5102">
        <v>1108910</v>
      </c>
      <c r="D5102">
        <v>35</v>
      </c>
    </row>
    <row r="5103" spans="1:4" x14ac:dyDescent="0.25">
      <c r="A5103" t="str">
        <f>T("   850910")</f>
        <v xml:space="preserve">   850910</v>
      </c>
      <c r="B5103"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5103">
        <v>6426440</v>
      </c>
      <c r="D5103">
        <v>4073</v>
      </c>
    </row>
    <row r="5104" spans="1:4" x14ac:dyDescent="0.25">
      <c r="A5104" t="str">
        <f>T("   850940")</f>
        <v xml:space="preserve">   850940</v>
      </c>
      <c r="B510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104">
        <v>11400534</v>
      </c>
      <c r="D5104">
        <v>1920</v>
      </c>
    </row>
    <row r="5105" spans="1:4" x14ac:dyDescent="0.25">
      <c r="A5105" t="str">
        <f>T("   850980")</f>
        <v xml:space="preserve">   850980</v>
      </c>
      <c r="B5105" t="s">
        <v>473</v>
      </c>
      <c r="C5105">
        <v>6879594</v>
      </c>
      <c r="D5105">
        <v>3890</v>
      </c>
    </row>
    <row r="5106" spans="1:4" x14ac:dyDescent="0.25">
      <c r="A5106" t="str">
        <f>T("   850990")</f>
        <v xml:space="preserve">   850990</v>
      </c>
      <c r="B5106" t="str">
        <f>T("   Parties d'appareils électromécaniques à moteur électrique incorporé, à usage domestique, n.d.a.")</f>
        <v xml:space="preserve">   Parties d'appareils électromécaniques à moteur électrique incorporé, à usage domestique, n.d.a.</v>
      </c>
      <c r="C5106">
        <v>3959697</v>
      </c>
      <c r="D5106">
        <v>1496</v>
      </c>
    </row>
    <row r="5107" spans="1:4" x14ac:dyDescent="0.25">
      <c r="A5107" t="str">
        <f>T("   851010")</f>
        <v xml:space="preserve">   851010</v>
      </c>
      <c r="B5107" t="str">
        <f>T("   Rasoirs électriques")</f>
        <v xml:space="preserve">   Rasoirs électriques</v>
      </c>
      <c r="C5107">
        <v>2021013</v>
      </c>
      <c r="D5107">
        <v>467</v>
      </c>
    </row>
    <row r="5108" spans="1:4" x14ac:dyDescent="0.25">
      <c r="A5108" t="str">
        <f>T("   851020")</f>
        <v xml:space="preserve">   851020</v>
      </c>
      <c r="B5108" t="str">
        <f>T("   Tondeuses à moteur électrique incorporé")</f>
        <v xml:space="preserve">   Tondeuses à moteur électrique incorporé</v>
      </c>
      <c r="C5108">
        <v>666231</v>
      </c>
      <c r="D5108">
        <v>85</v>
      </c>
    </row>
    <row r="5109" spans="1:4" x14ac:dyDescent="0.25">
      <c r="A5109" t="str">
        <f>T("   851110")</f>
        <v xml:space="preserve">   851110</v>
      </c>
      <c r="B5109" t="str">
        <f>T("   Bougies d'allumage pour moteurs à allumage par étincelles ou par compression")</f>
        <v xml:space="preserve">   Bougies d'allumage pour moteurs à allumage par étincelles ou par compression</v>
      </c>
      <c r="C5109">
        <v>2642207</v>
      </c>
      <c r="D5109">
        <v>243</v>
      </c>
    </row>
    <row r="5110" spans="1:4" x14ac:dyDescent="0.25">
      <c r="A5110" t="str">
        <f>T("   851120")</f>
        <v xml:space="preserve">   851120</v>
      </c>
      <c r="B5110" t="str">
        <f>T("   Magnétos, dynamos-magnétos, volants magnétiques, pour moteurs à allumage par étincelles ou par compression")</f>
        <v xml:space="preserve">   Magnétos, dynamos-magnétos, volants magnétiques, pour moteurs à allumage par étincelles ou par compression</v>
      </c>
      <c r="C5110">
        <v>1049126</v>
      </c>
      <c r="D5110">
        <v>6</v>
      </c>
    </row>
    <row r="5111" spans="1:4" x14ac:dyDescent="0.25">
      <c r="A5111" t="str">
        <f>T("   851130")</f>
        <v xml:space="preserve">   851130</v>
      </c>
      <c r="B5111" t="str">
        <f>T("   Distributeurs et bobines d'allumage, pour moteurs à allumage par étincelles ou par compression")</f>
        <v xml:space="preserve">   Distributeurs et bobines d'allumage, pour moteurs à allumage par étincelles ou par compression</v>
      </c>
      <c r="C5111">
        <v>23417671</v>
      </c>
      <c r="D5111">
        <v>12365.8</v>
      </c>
    </row>
    <row r="5112" spans="1:4" x14ac:dyDescent="0.25">
      <c r="A5112" t="str">
        <f>T("   851140")</f>
        <v xml:space="preserve">   851140</v>
      </c>
      <c r="B5112" t="str">
        <f>T("   Démarreurs, même fonctionnant comme génératrices, pour moteurs à allumage par étincelles ou par compression")</f>
        <v xml:space="preserve">   Démarreurs, même fonctionnant comme génératrices, pour moteurs à allumage par étincelles ou par compression</v>
      </c>
      <c r="C5112">
        <v>23494416</v>
      </c>
      <c r="D5112">
        <v>810</v>
      </c>
    </row>
    <row r="5113" spans="1:4" x14ac:dyDescent="0.25">
      <c r="A5113" t="str">
        <f>T("   851150")</f>
        <v xml:space="preserve">   851150</v>
      </c>
      <c r="B5113"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5113">
        <v>14875376</v>
      </c>
      <c r="D5113">
        <v>1461.5</v>
      </c>
    </row>
    <row r="5114" spans="1:4" x14ac:dyDescent="0.25">
      <c r="A5114" t="str">
        <f>T("   851180")</f>
        <v xml:space="preserve">   851180</v>
      </c>
      <c r="B5114" t="s">
        <v>474</v>
      </c>
      <c r="C5114">
        <v>3233542</v>
      </c>
      <c r="D5114">
        <v>96</v>
      </c>
    </row>
    <row r="5115" spans="1:4" x14ac:dyDescent="0.25">
      <c r="A5115" t="str">
        <f>T("   851190")</f>
        <v xml:space="preserve">   851190</v>
      </c>
      <c r="B5115" t="str">
        <f>T("   Parties des appareils et dispositifs électriques d'allumage et de démarrage, génératrices etc. du n° 8511, n.d.a.")</f>
        <v xml:space="preserve">   Parties des appareils et dispositifs électriques d'allumage et de démarrage, génératrices etc. du n° 8511, n.d.a.</v>
      </c>
      <c r="C5115">
        <v>333785</v>
      </c>
      <c r="D5115">
        <v>14</v>
      </c>
    </row>
    <row r="5116" spans="1:4" x14ac:dyDescent="0.25">
      <c r="A5116" t="str">
        <f>T("   851220")</f>
        <v xml:space="preserve">   851220</v>
      </c>
      <c r="B5116" t="str">
        <f>T("   Appareils électriques d'éclairage ou de signalisation visuelle, pour automobiles (à l'excl. des lampes du n° 8539)")</f>
        <v xml:space="preserve">   Appareils électriques d'éclairage ou de signalisation visuelle, pour automobiles (à l'excl. des lampes du n° 8539)</v>
      </c>
      <c r="C5116">
        <v>26831565</v>
      </c>
      <c r="D5116">
        <v>1807</v>
      </c>
    </row>
    <row r="5117" spans="1:4" x14ac:dyDescent="0.25">
      <c r="A5117" t="str">
        <f>T("   851230")</f>
        <v xml:space="preserve">   851230</v>
      </c>
      <c r="B5117" t="str">
        <f>T("   APPAREILS ÉLECTRIQUES DE SIGNALISATION ACOUSTIQUE, POUR CYCLES OU POUR AUTOMOBILES")</f>
        <v xml:space="preserve">   APPAREILS ÉLECTRIQUES DE SIGNALISATION ACOUSTIQUE, POUR CYCLES OU POUR AUTOMOBILES</v>
      </c>
      <c r="C5117">
        <v>742088</v>
      </c>
      <c r="D5117">
        <v>23</v>
      </c>
    </row>
    <row r="5118" spans="1:4" x14ac:dyDescent="0.25">
      <c r="A5118" t="str">
        <f>T("   851290")</f>
        <v xml:space="preserve">   851290</v>
      </c>
      <c r="B5118"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5118">
        <v>376586</v>
      </c>
      <c r="D5118">
        <v>92</v>
      </c>
    </row>
    <row r="5119" spans="1:4" x14ac:dyDescent="0.25">
      <c r="A5119" t="str">
        <f>T("   851310")</f>
        <v xml:space="preserve">   851310</v>
      </c>
      <c r="B5119" t="str">
        <f>T("   Lampes électriques portatives, destinées à fonctionner au moyen de leur propre source d'énergie")</f>
        <v xml:space="preserve">   Lampes électriques portatives, destinées à fonctionner au moyen de leur propre source d'énergie</v>
      </c>
      <c r="C5119">
        <v>4267905</v>
      </c>
      <c r="D5119">
        <v>152.9</v>
      </c>
    </row>
    <row r="5120" spans="1:4" x14ac:dyDescent="0.25">
      <c r="A5120" t="str">
        <f>T("   851410")</f>
        <v xml:space="preserve">   851410</v>
      </c>
      <c r="B5120" t="str">
        <f>T("   Fours à résistance -à chauffage indirect-, industriels ou de laboratoires (à l'excl. des étuves)")</f>
        <v xml:space="preserve">   Fours à résistance -à chauffage indirect-, industriels ou de laboratoires (à l'excl. des étuves)</v>
      </c>
      <c r="C5120">
        <v>1414838</v>
      </c>
      <c r="D5120">
        <v>18</v>
      </c>
    </row>
    <row r="5121" spans="1:4" x14ac:dyDescent="0.25">
      <c r="A5121" t="str">
        <f>T("   851430")</f>
        <v xml:space="preserve">   851430</v>
      </c>
      <c r="B5121"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5121">
        <v>5172027</v>
      </c>
      <c r="D5121">
        <v>2070</v>
      </c>
    </row>
    <row r="5122" spans="1:4" x14ac:dyDescent="0.25">
      <c r="A5122" t="str">
        <f>T("   851440")</f>
        <v xml:space="preserve">   851440</v>
      </c>
      <c r="B5122" t="str">
        <f>T("   Appareils pour le traitement thermique des matières par induction ou par pertes diélectriques (autres que fours)")</f>
        <v xml:space="preserve">   Appareils pour le traitement thermique des matières par induction ou par pertes diélectriques (autres que fours)</v>
      </c>
      <c r="C5122">
        <v>1110184</v>
      </c>
      <c r="D5122">
        <v>17</v>
      </c>
    </row>
    <row r="5123" spans="1:4" x14ac:dyDescent="0.25">
      <c r="A5123" t="str">
        <f>T("   851490")</f>
        <v xml:space="preserve">   851490</v>
      </c>
      <c r="B5123" t="s">
        <v>476</v>
      </c>
      <c r="C5123">
        <v>2718298</v>
      </c>
      <c r="D5123">
        <v>50</v>
      </c>
    </row>
    <row r="5124" spans="1:4" x14ac:dyDescent="0.25">
      <c r="A5124" t="str">
        <f>T("   851511")</f>
        <v xml:space="preserve">   851511</v>
      </c>
      <c r="B5124" t="str">
        <f>T("   Fers et pistolets à braser électriques")</f>
        <v xml:space="preserve">   Fers et pistolets à braser électriques</v>
      </c>
      <c r="C5124">
        <v>40387</v>
      </c>
      <c r="D5124">
        <v>2</v>
      </c>
    </row>
    <row r="5125" spans="1:4" x14ac:dyDescent="0.25">
      <c r="A5125" t="str">
        <f>T("   851519")</f>
        <v xml:space="preserve">   851519</v>
      </c>
      <c r="B5125" t="str">
        <f>T("   Machines et appareils électriques pour le brasage fort ou tendre (sauf fers et pistolets à braser)")</f>
        <v xml:space="preserve">   Machines et appareils électriques pour le brasage fort ou tendre (sauf fers et pistolets à braser)</v>
      </c>
      <c r="C5125">
        <v>385705</v>
      </c>
      <c r="D5125">
        <v>137</v>
      </c>
    </row>
    <row r="5126" spans="1:4" x14ac:dyDescent="0.25">
      <c r="A5126" t="str">
        <f>T("   851531")</f>
        <v xml:space="preserve">   851531</v>
      </c>
      <c r="B5126" t="str">
        <f>T("   Machines et appareils pour le soudage des métaux à l'arc ou au jet de plasma, entièrement ou partiellement automatiques")</f>
        <v xml:space="preserve">   Machines et appareils pour le soudage des métaux à l'arc ou au jet de plasma, entièrement ou partiellement automatiques</v>
      </c>
      <c r="C5126">
        <v>359466</v>
      </c>
      <c r="D5126">
        <v>14</v>
      </c>
    </row>
    <row r="5127" spans="1:4" x14ac:dyDescent="0.25">
      <c r="A5127" t="str">
        <f>T("   851539")</f>
        <v xml:space="preserve">   851539</v>
      </c>
      <c r="B5127" t="str">
        <f>T("   MACHINES ET APPAREILS POUR LE SOUDAGE DES MÉTAUX À L'ARC OU AU JET DE PLASMA, NON-AUTOMATIQUES")</f>
        <v xml:space="preserve">   MACHINES ET APPAREILS POUR LE SOUDAGE DES MÉTAUX À L'ARC OU AU JET DE PLASMA, NON-AUTOMATIQUES</v>
      </c>
      <c r="C5127">
        <v>21287713</v>
      </c>
      <c r="D5127">
        <v>7158</v>
      </c>
    </row>
    <row r="5128" spans="1:4" x14ac:dyDescent="0.25">
      <c r="A5128" t="str">
        <f>T("   851580")</f>
        <v xml:space="preserve">   851580</v>
      </c>
      <c r="B5128" t="s">
        <v>477</v>
      </c>
      <c r="C5128">
        <v>196788</v>
      </c>
      <c r="D5128">
        <v>20</v>
      </c>
    </row>
    <row r="5129" spans="1:4" x14ac:dyDescent="0.25">
      <c r="A5129" t="str">
        <f>T("   851590")</f>
        <v xml:space="preserve">   851590</v>
      </c>
      <c r="B5129"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5129">
        <v>5112574</v>
      </c>
      <c r="D5129">
        <v>884</v>
      </c>
    </row>
    <row r="5130" spans="1:4" x14ac:dyDescent="0.25">
      <c r="A5130" t="str">
        <f>T("   851610")</f>
        <v xml:space="preserve">   851610</v>
      </c>
      <c r="B5130" t="str">
        <f>T("   Chauffe-eau et thermoplongeurs électriques")</f>
        <v xml:space="preserve">   Chauffe-eau et thermoplongeurs électriques</v>
      </c>
      <c r="C5130">
        <v>2286868</v>
      </c>
      <c r="D5130">
        <v>752</v>
      </c>
    </row>
    <row r="5131" spans="1:4" x14ac:dyDescent="0.25">
      <c r="A5131" t="str">
        <f>T("   851629")</f>
        <v xml:space="preserve">   851629</v>
      </c>
      <c r="B5131" t="str">
        <f>T("   Appareils électriques pour le chauffage des locaux, du sol ou pour usages simil. (sauf radiateurs à accumulation)")</f>
        <v xml:space="preserve">   Appareils électriques pour le chauffage des locaux, du sol ou pour usages simil. (sauf radiateurs à accumulation)</v>
      </c>
      <c r="C5131">
        <v>1022359</v>
      </c>
      <c r="D5131">
        <v>2177</v>
      </c>
    </row>
    <row r="5132" spans="1:4" x14ac:dyDescent="0.25">
      <c r="A5132" t="str">
        <f>T("   851632")</f>
        <v xml:space="preserve">   851632</v>
      </c>
      <c r="B5132" t="str">
        <f>T("   Appareils électrothermiques pour la coiffure (autres que sèche-cheveux)")</f>
        <v xml:space="preserve">   Appareils électrothermiques pour la coiffure (autres que sèche-cheveux)</v>
      </c>
      <c r="C5132">
        <v>1314556</v>
      </c>
      <c r="D5132">
        <v>276</v>
      </c>
    </row>
    <row r="5133" spans="1:4" x14ac:dyDescent="0.25">
      <c r="A5133" t="str">
        <f>T("   851640")</f>
        <v xml:space="preserve">   851640</v>
      </c>
      <c r="B5133" t="str">
        <f>T("   Fers à repasser électriques")</f>
        <v xml:space="preserve">   Fers à repasser électriques</v>
      </c>
      <c r="C5133">
        <v>10568196</v>
      </c>
      <c r="D5133">
        <v>2070</v>
      </c>
    </row>
    <row r="5134" spans="1:4" x14ac:dyDescent="0.25">
      <c r="A5134" t="str">
        <f>T("   851650")</f>
        <v xml:space="preserve">   851650</v>
      </c>
      <c r="B5134" t="str">
        <f>T("   Fours à micro-ondes")</f>
        <v xml:space="preserve">   Fours à micro-ondes</v>
      </c>
      <c r="C5134">
        <v>823806</v>
      </c>
      <c r="D5134">
        <v>1180</v>
      </c>
    </row>
    <row r="5135" spans="1:4" x14ac:dyDescent="0.25">
      <c r="A5135" t="str">
        <f>T("   851660")</f>
        <v xml:space="preserve">   851660</v>
      </c>
      <c r="B513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135">
        <v>5923636</v>
      </c>
      <c r="D5135">
        <v>14211</v>
      </c>
    </row>
    <row r="5136" spans="1:4" x14ac:dyDescent="0.25">
      <c r="A5136" t="str">
        <f>T("   851671")</f>
        <v xml:space="preserve">   851671</v>
      </c>
      <c r="B5136" t="str">
        <f>T("   Appareils électriques pour la préparation du café ou du thé, pour usages domestiques")</f>
        <v xml:space="preserve">   Appareils électriques pour la préparation du café ou du thé, pour usages domestiques</v>
      </c>
      <c r="C5136">
        <v>15897490</v>
      </c>
      <c r="D5136">
        <v>3521</v>
      </c>
    </row>
    <row r="5137" spans="1:4" x14ac:dyDescent="0.25">
      <c r="A5137" t="str">
        <f>T("   851679")</f>
        <v xml:space="preserve">   851679</v>
      </c>
      <c r="B5137" t="s">
        <v>478</v>
      </c>
      <c r="C5137">
        <v>58324678</v>
      </c>
      <c r="D5137">
        <v>72831</v>
      </c>
    </row>
    <row r="5138" spans="1:4" x14ac:dyDescent="0.25">
      <c r="A5138" t="str">
        <f>T("   851680")</f>
        <v xml:space="preserve">   851680</v>
      </c>
      <c r="B5138" t="str">
        <f>T("   Résistances chauffantes (autres qu'en charbon aggloméré ou graphite)")</f>
        <v xml:space="preserve">   Résistances chauffantes (autres qu'en charbon aggloméré ou graphite)</v>
      </c>
      <c r="C5138">
        <v>5374437</v>
      </c>
      <c r="D5138">
        <v>142</v>
      </c>
    </row>
    <row r="5139" spans="1:4" x14ac:dyDescent="0.25">
      <c r="A5139" t="str">
        <f>T("   851690")</f>
        <v xml:space="preserve">   851690</v>
      </c>
      <c r="B5139"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5139">
        <v>8025272</v>
      </c>
      <c r="D5139">
        <v>179</v>
      </c>
    </row>
    <row r="5140" spans="1:4" x14ac:dyDescent="0.25">
      <c r="A5140" t="str">
        <f>T("   851711")</f>
        <v xml:space="preserve">   851711</v>
      </c>
      <c r="B5140" t="str">
        <f>T("   Postes téléphoniques d'usagers pour la téléphonie par fil à combinés sans fil")</f>
        <v xml:space="preserve">   Postes téléphoniques d'usagers pour la téléphonie par fil à combinés sans fil</v>
      </c>
      <c r="C5140">
        <v>3196235</v>
      </c>
      <c r="D5140">
        <v>109</v>
      </c>
    </row>
    <row r="5141" spans="1:4" x14ac:dyDescent="0.25">
      <c r="A5141" t="str">
        <f>T("   851712")</f>
        <v xml:space="preserve">   851712</v>
      </c>
      <c r="B5141" t="str">
        <f>T("   TÉLÉPHONES POUR RÉSEAUX CELLULAIRES [TÉLÉPHONES MOBILES] ET POUR AUTRES RÉSEAUX SANS FIL")</f>
        <v xml:space="preserve">   TÉLÉPHONES POUR RÉSEAUX CELLULAIRES [TÉLÉPHONES MOBILES] ET POUR AUTRES RÉSEAUX SANS FIL</v>
      </c>
      <c r="C5141">
        <v>2310581</v>
      </c>
      <c r="D5141">
        <v>63.36</v>
      </c>
    </row>
    <row r="5142" spans="1:4" x14ac:dyDescent="0.25">
      <c r="A5142" t="str">
        <f>T("   851718")</f>
        <v xml:space="preserve">   851718</v>
      </c>
      <c r="B5142"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5142">
        <v>42960859</v>
      </c>
      <c r="D5142">
        <v>263</v>
      </c>
    </row>
    <row r="5143" spans="1:4" x14ac:dyDescent="0.25">
      <c r="A5143" t="str">
        <f>T("   851719")</f>
        <v xml:space="preserve">   851719</v>
      </c>
      <c r="B5143"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143">
        <v>227889</v>
      </c>
      <c r="D5143">
        <v>2</v>
      </c>
    </row>
    <row r="5144" spans="1:4" x14ac:dyDescent="0.25">
      <c r="A5144" t="str">
        <f>T("   851761")</f>
        <v xml:space="preserve">   851761</v>
      </c>
      <c r="B5144" t="str">
        <f>T("   STATIONS DE BASE POUR LA TRANSMISSION OU LA RÉCEPTION DE LA VOIX, D'IMAGES OU D'AUTRES DONNÉES, D'UN RESEAU SANS FIL")</f>
        <v xml:space="preserve">   STATIONS DE BASE POUR LA TRANSMISSION OU LA RÉCEPTION DE LA VOIX, D'IMAGES OU D'AUTRES DONNÉES, D'UN RESEAU SANS FIL</v>
      </c>
      <c r="C5144">
        <v>14937</v>
      </c>
      <c r="D5144">
        <v>5</v>
      </c>
    </row>
    <row r="5145" spans="1:4" x14ac:dyDescent="0.25">
      <c r="A5145" t="str">
        <f>T("   851762")</f>
        <v xml:space="preserve">   851762</v>
      </c>
      <c r="B5145" t="s">
        <v>480</v>
      </c>
      <c r="C5145">
        <v>362961564</v>
      </c>
      <c r="D5145">
        <v>2686.1</v>
      </c>
    </row>
    <row r="5146" spans="1:4" x14ac:dyDescent="0.25">
      <c r="A5146" t="str">
        <f>T("   851769")</f>
        <v xml:space="preserve">   851769</v>
      </c>
      <c r="B5146" t="s">
        <v>481</v>
      </c>
      <c r="C5146">
        <v>326333529</v>
      </c>
      <c r="D5146">
        <v>6495.37</v>
      </c>
    </row>
    <row r="5147" spans="1:4" x14ac:dyDescent="0.25">
      <c r="A5147" t="str">
        <f>T("   851770")</f>
        <v xml:space="preserve">   851770</v>
      </c>
      <c r="B5147"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5147">
        <v>58932017</v>
      </c>
      <c r="D5147">
        <v>814.5</v>
      </c>
    </row>
    <row r="5148" spans="1:4" x14ac:dyDescent="0.25">
      <c r="A5148" t="str">
        <f>T("   851780")</f>
        <v xml:space="preserve">   851780</v>
      </c>
      <c r="B5148" t="s">
        <v>482</v>
      </c>
      <c r="C5148">
        <v>34315851</v>
      </c>
      <c r="D5148">
        <v>642</v>
      </c>
    </row>
    <row r="5149" spans="1:4" x14ac:dyDescent="0.25">
      <c r="A5149" t="str">
        <f>T("   851790")</f>
        <v xml:space="preserve">   851790</v>
      </c>
      <c r="B5149" t="s">
        <v>483</v>
      </c>
      <c r="C5149">
        <v>8732869</v>
      </c>
      <c r="D5149">
        <v>86</v>
      </c>
    </row>
    <row r="5150" spans="1:4" x14ac:dyDescent="0.25">
      <c r="A5150" t="str">
        <f>T("   851821")</f>
        <v xml:space="preserve">   851821</v>
      </c>
      <c r="B5150" t="str">
        <f>T("   Haut-parleur unique monté dans son enceinte")</f>
        <v xml:space="preserve">   Haut-parleur unique monté dans son enceinte</v>
      </c>
      <c r="C5150">
        <v>140375</v>
      </c>
      <c r="D5150">
        <v>49</v>
      </c>
    </row>
    <row r="5151" spans="1:4" x14ac:dyDescent="0.25">
      <c r="A5151" t="str">
        <f>T("   851822")</f>
        <v xml:space="preserve">   851822</v>
      </c>
      <c r="B5151" t="str">
        <f>T("   Haut-parleurs multiples montés dans la même enceinte")</f>
        <v xml:space="preserve">   Haut-parleurs multiples montés dans la même enceinte</v>
      </c>
      <c r="C5151">
        <v>523456</v>
      </c>
      <c r="D5151">
        <v>169</v>
      </c>
    </row>
    <row r="5152" spans="1:4" x14ac:dyDescent="0.25">
      <c r="A5152" t="str">
        <f>T("   851829")</f>
        <v xml:space="preserve">   851829</v>
      </c>
      <c r="B5152" t="str">
        <f>T("   Haut-parleurs sans enceinte")</f>
        <v xml:space="preserve">   Haut-parleurs sans enceinte</v>
      </c>
      <c r="C5152">
        <v>905225</v>
      </c>
      <c r="D5152">
        <v>34</v>
      </c>
    </row>
    <row r="5153" spans="1:4" x14ac:dyDescent="0.25">
      <c r="A5153" t="str">
        <f>T("   851830")</f>
        <v xml:space="preserve">   851830</v>
      </c>
      <c r="B5153" t="s">
        <v>484</v>
      </c>
      <c r="C5153">
        <v>697778</v>
      </c>
      <c r="D5153">
        <v>15</v>
      </c>
    </row>
    <row r="5154" spans="1:4" x14ac:dyDescent="0.25">
      <c r="A5154" t="str">
        <f>T("   851840")</f>
        <v xml:space="preserve">   851840</v>
      </c>
      <c r="B5154" t="str">
        <f>T("   Amplificateurs électriques d'audiofréquence")</f>
        <v xml:space="preserve">   Amplificateurs électriques d'audiofréquence</v>
      </c>
      <c r="C5154">
        <v>671807</v>
      </c>
      <c r="D5154">
        <v>84.42</v>
      </c>
    </row>
    <row r="5155" spans="1:4" x14ac:dyDescent="0.25">
      <c r="A5155" t="str">
        <f>T("   851850")</f>
        <v xml:space="preserve">   851850</v>
      </c>
      <c r="B5155" t="str">
        <f>T("   Appareils électriques d'amplification du son")</f>
        <v xml:space="preserve">   Appareils électriques d'amplification du son</v>
      </c>
      <c r="C5155">
        <v>310269</v>
      </c>
      <c r="D5155">
        <v>32</v>
      </c>
    </row>
    <row r="5156" spans="1:4" x14ac:dyDescent="0.25">
      <c r="A5156" t="str">
        <f>T("   851890")</f>
        <v xml:space="preserve">   851890</v>
      </c>
      <c r="B5156"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5156">
        <v>636560</v>
      </c>
      <c r="D5156">
        <v>226</v>
      </c>
    </row>
    <row r="5157" spans="1:4" x14ac:dyDescent="0.25">
      <c r="A5157" t="str">
        <f>T("   851930")</f>
        <v xml:space="preserve">   851930</v>
      </c>
      <c r="B5157" t="str">
        <f>T("   TOURNE-DISQUES")</f>
        <v xml:space="preserve">   TOURNE-DISQUES</v>
      </c>
      <c r="C5157">
        <v>1596504</v>
      </c>
      <c r="D5157">
        <v>12</v>
      </c>
    </row>
    <row r="5158" spans="1:4" x14ac:dyDescent="0.25">
      <c r="A5158" t="str">
        <f>T("   851989")</f>
        <v xml:space="preserve">   851989</v>
      </c>
      <c r="B5158" t="s">
        <v>485</v>
      </c>
      <c r="C5158">
        <v>1468039</v>
      </c>
      <c r="D5158">
        <v>930.5</v>
      </c>
    </row>
    <row r="5159" spans="1:4" x14ac:dyDescent="0.25">
      <c r="A5159" t="str">
        <f>T("   851999")</f>
        <v xml:space="preserve">   851999</v>
      </c>
      <c r="B515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5159">
        <v>25583</v>
      </c>
      <c r="D5159">
        <v>20</v>
      </c>
    </row>
    <row r="5160" spans="1:4" x14ac:dyDescent="0.25">
      <c r="A5160" t="str">
        <f>T("   852090")</f>
        <v xml:space="preserve">   852090</v>
      </c>
      <c r="B5160"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5160">
        <v>161247</v>
      </c>
      <c r="D5160">
        <v>234</v>
      </c>
    </row>
    <row r="5161" spans="1:4" x14ac:dyDescent="0.25">
      <c r="A5161" t="str">
        <f>T("   852190")</f>
        <v xml:space="preserve">   852190</v>
      </c>
      <c r="B5161" t="s">
        <v>487</v>
      </c>
      <c r="C5161">
        <v>12394340</v>
      </c>
      <c r="D5161">
        <v>9801</v>
      </c>
    </row>
    <row r="5162" spans="1:4" x14ac:dyDescent="0.25">
      <c r="A5162" t="str">
        <f>T("   852290")</f>
        <v xml:space="preserve">   852290</v>
      </c>
      <c r="B5162" t="s">
        <v>488</v>
      </c>
      <c r="C5162">
        <v>612011</v>
      </c>
      <c r="D5162">
        <v>2</v>
      </c>
    </row>
    <row r="5163" spans="1:4" x14ac:dyDescent="0.25">
      <c r="A5163" t="str">
        <f>T("   852320")</f>
        <v xml:space="preserve">   852320</v>
      </c>
      <c r="B5163" t="str">
        <f>T("   DISQUES MAGNÉTIQUES NON-ENREGISTRÉS")</f>
        <v xml:space="preserve">   DISQUES MAGNÉTIQUES NON-ENREGISTRÉS</v>
      </c>
      <c r="C5163">
        <v>1026538</v>
      </c>
      <c r="D5163">
        <v>1359</v>
      </c>
    </row>
    <row r="5164" spans="1:4" x14ac:dyDescent="0.25">
      <c r="A5164" t="str">
        <f>T("   852321")</f>
        <v xml:space="preserve">   852321</v>
      </c>
      <c r="B5164" t="str">
        <f>T("   CARTES MUNIES D'UNE PISTE MAGNÉTIQUE POUR L'ENREGISTREMENT DU SON OU POUR ENREGISTREMENTS ANALOGUES")</f>
        <v xml:space="preserve">   CARTES MUNIES D'UNE PISTE MAGNÉTIQUE POUR L'ENREGISTREMENT DU SON OU POUR ENREGISTREMENTS ANALOGUES</v>
      </c>
      <c r="C5164">
        <v>787054459</v>
      </c>
      <c r="D5164">
        <v>17295.400000000001</v>
      </c>
    </row>
    <row r="5165" spans="1:4" x14ac:dyDescent="0.25">
      <c r="A5165" t="str">
        <f>T("   852329")</f>
        <v xml:space="preserve">   852329</v>
      </c>
      <c r="B5165"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5165">
        <v>2040737</v>
      </c>
      <c r="D5165">
        <v>458.5</v>
      </c>
    </row>
    <row r="5166" spans="1:4" x14ac:dyDescent="0.25">
      <c r="A5166" t="str">
        <f>T("   852330")</f>
        <v xml:space="preserve">   852330</v>
      </c>
      <c r="B5166" t="str">
        <f>T("   Cartes munies d'une piste magnétique non enregistrée")</f>
        <v xml:space="preserve">   Cartes munies d'une piste magnétique non enregistrée</v>
      </c>
      <c r="C5166">
        <v>29622065</v>
      </c>
      <c r="D5166">
        <v>467</v>
      </c>
    </row>
    <row r="5167" spans="1:4" x14ac:dyDescent="0.25">
      <c r="A5167" t="str">
        <f>T("   852352")</f>
        <v xml:space="preserve">   852352</v>
      </c>
      <c r="B5167" t="str">
        <f>T("   CARTES MUNIES D'UN OU PLUSIEURS CIRCUITS INTÉGRÉS ÉLECTRONIQUES [CARTES INTELLIGENTES]")</f>
        <v xml:space="preserve">   CARTES MUNIES D'UN OU PLUSIEURS CIRCUITS INTÉGRÉS ÉLECTRONIQUES [CARTES INTELLIGENTES]</v>
      </c>
      <c r="C5167">
        <v>361883970</v>
      </c>
      <c r="D5167">
        <v>3937.5</v>
      </c>
    </row>
    <row r="5168" spans="1:4" x14ac:dyDescent="0.25">
      <c r="A5168" t="str">
        <f>T("   852380")</f>
        <v xml:space="preserve">   852380</v>
      </c>
      <c r="B5168" t="s">
        <v>490</v>
      </c>
      <c r="C5168">
        <v>229878115</v>
      </c>
      <c r="D5168">
        <v>13397</v>
      </c>
    </row>
    <row r="5169" spans="1:4" x14ac:dyDescent="0.25">
      <c r="A5169" t="str">
        <f>T("   852390")</f>
        <v xml:space="preserve">   852390</v>
      </c>
      <c r="B5169"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5169">
        <v>8966252</v>
      </c>
      <c r="D5169">
        <v>1983</v>
      </c>
    </row>
    <row r="5170" spans="1:4" x14ac:dyDescent="0.25">
      <c r="A5170" t="str">
        <f>T("   852439")</f>
        <v xml:space="preserve">   852439</v>
      </c>
      <c r="B5170"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5170">
        <v>2554964</v>
      </c>
      <c r="D5170">
        <v>953</v>
      </c>
    </row>
    <row r="5171" spans="1:4" x14ac:dyDescent="0.25">
      <c r="A5171" t="str">
        <f>T("   852460")</f>
        <v xml:space="preserve">   852460</v>
      </c>
      <c r="B5171" t="str">
        <f>T("   Cartes munies d'une piste magnétique enregistrée")</f>
        <v xml:space="preserve">   Cartes munies d'une piste magnétique enregistrée</v>
      </c>
      <c r="C5171">
        <v>2301299</v>
      </c>
      <c r="D5171">
        <v>13.9</v>
      </c>
    </row>
    <row r="5172" spans="1:4" x14ac:dyDescent="0.25">
      <c r="A5172" t="str">
        <f>T("   852490")</f>
        <v xml:space="preserve">   852490</v>
      </c>
      <c r="B5172" t="s">
        <v>491</v>
      </c>
      <c r="C5172">
        <v>50000</v>
      </c>
      <c r="D5172">
        <v>45</v>
      </c>
    </row>
    <row r="5173" spans="1:4" x14ac:dyDescent="0.25">
      <c r="A5173" t="str">
        <f>T("   852510")</f>
        <v xml:space="preserve">   852510</v>
      </c>
      <c r="B5173" t="str">
        <f>T("   Appareils d'émission, pour la radiotéléphonie, la radiotélégraphie, la radiodiffusion ou la télévision")</f>
        <v xml:space="preserve">   Appareils d'émission, pour la radiotéléphonie, la radiotélégraphie, la radiodiffusion ou la télévision</v>
      </c>
      <c r="C5173">
        <v>65596</v>
      </c>
      <c r="D5173">
        <v>80</v>
      </c>
    </row>
    <row r="5174" spans="1:4" x14ac:dyDescent="0.25">
      <c r="A5174" t="str">
        <f>T("   852550")</f>
        <v xml:space="preserve">   852550</v>
      </c>
      <c r="B5174" t="str">
        <f>T("   APPAREILS D'ÉMISSION POUR LA RADIODIFFUSION OU LA TÉLÉVISION, SANS APPAREIL DE RÉCEPTION")</f>
        <v xml:space="preserve">   APPAREILS D'ÉMISSION POUR LA RADIODIFFUSION OU LA TÉLÉVISION, SANS APPAREIL DE RÉCEPTION</v>
      </c>
      <c r="C5174">
        <v>29151334</v>
      </c>
      <c r="D5174">
        <v>1098.3</v>
      </c>
    </row>
    <row r="5175" spans="1:4" x14ac:dyDescent="0.25">
      <c r="A5175" t="str">
        <f>T("   852560")</f>
        <v xml:space="preserve">   852560</v>
      </c>
      <c r="B5175" t="str">
        <f>T("   APPAREILS D'ÉMISSION POUR LA RADIODIFFUSION OU LA TÉLÉVISION, INCORPORANT UN APPAREIL DE RÉCEPTION")</f>
        <v xml:space="preserve">   APPAREILS D'ÉMISSION POUR LA RADIODIFFUSION OU LA TÉLÉVISION, INCORPORANT UN APPAREIL DE RÉCEPTION</v>
      </c>
      <c r="C5175">
        <v>998371</v>
      </c>
      <c r="D5175">
        <v>33</v>
      </c>
    </row>
    <row r="5176" spans="1:4" x14ac:dyDescent="0.25">
      <c r="A5176" t="str">
        <f>T("   852580")</f>
        <v xml:space="preserve">   852580</v>
      </c>
      <c r="B5176" t="str">
        <f>T("   CAMÉRAS DE TÉLÉVISION, APPAREILS PHOTOGRAPHIQUES NUMÉRIQUES ET CAMÉSCOPES")</f>
        <v xml:space="preserve">   CAMÉRAS DE TÉLÉVISION, APPAREILS PHOTOGRAPHIQUES NUMÉRIQUES ET CAMÉSCOPES</v>
      </c>
      <c r="C5176">
        <v>35007929</v>
      </c>
      <c r="D5176">
        <v>449</v>
      </c>
    </row>
    <row r="5177" spans="1:4" x14ac:dyDescent="0.25">
      <c r="A5177" t="str">
        <f>T("   852610")</f>
        <v xml:space="preserve">   852610</v>
      </c>
      <c r="B5177" t="str">
        <f>T("   Appareils de radiodétection et de radiosondage [radar]")</f>
        <v xml:space="preserve">   Appareils de radiodétection et de radiosondage [radar]</v>
      </c>
      <c r="C5177">
        <v>777004</v>
      </c>
      <c r="D5177">
        <v>27.6</v>
      </c>
    </row>
    <row r="5178" spans="1:4" x14ac:dyDescent="0.25">
      <c r="A5178" t="str">
        <f>T("   852691")</f>
        <v xml:space="preserve">   852691</v>
      </c>
      <c r="B5178" t="str">
        <f>T("   Appareils de radionavigation")</f>
        <v xml:space="preserve">   Appareils de radionavigation</v>
      </c>
      <c r="C5178">
        <v>335852</v>
      </c>
      <c r="D5178">
        <v>9.35</v>
      </c>
    </row>
    <row r="5179" spans="1:4" x14ac:dyDescent="0.25">
      <c r="A5179" t="str">
        <f>T("   852713")</f>
        <v xml:space="preserve">   852713</v>
      </c>
      <c r="B5179"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5179">
        <v>211685</v>
      </c>
      <c r="D5179">
        <v>30</v>
      </c>
    </row>
    <row r="5180" spans="1:4" x14ac:dyDescent="0.25">
      <c r="A5180" t="str">
        <f>T("   852719")</f>
        <v xml:space="preserve">   852719</v>
      </c>
      <c r="B5180"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180">
        <v>1843594</v>
      </c>
      <c r="D5180">
        <v>3327</v>
      </c>
    </row>
    <row r="5181" spans="1:4" x14ac:dyDescent="0.25">
      <c r="A5181" t="str">
        <f>T("   852729")</f>
        <v xml:space="preserve">   852729</v>
      </c>
      <c r="B5181" t="s">
        <v>492</v>
      </c>
      <c r="C5181">
        <v>8957</v>
      </c>
      <c r="D5181">
        <v>2</v>
      </c>
    </row>
    <row r="5182" spans="1:4" x14ac:dyDescent="0.25">
      <c r="A5182" t="str">
        <f>T("   852791")</f>
        <v xml:space="preserve">   852791</v>
      </c>
      <c r="B5182" t="str">
        <f>T("   RÉCEPTEURS DE RADIODIFFUSION, NE POUVANT FONCTIONNER QU'AVEC UNE SOURCE D'ÉNERGIE EXTÉRIEURE, COMBINÉS À UN APPAREIL D'ENREGISTREMENT OU DE REPRODUCTION DU SON (AUTRES QUE POUR VÉHICULES AUTOMOBILES)")</f>
        <v xml:space="preserve">   RÉCEPTEURS DE RADIODIFFUSION, NE POUVANT FONCTIONNER QU'AVEC UNE SOURCE D'ÉNERGIE EXTÉRIEURE, COMBINÉS À UN APPAREIL D'ENREGISTREMENT OU DE REPRODUCTION DU SON (AUTRES QUE POUR VÉHICULES AUTOMOBILES)</v>
      </c>
      <c r="C5182">
        <v>8633542</v>
      </c>
      <c r="D5182">
        <v>341</v>
      </c>
    </row>
    <row r="5183" spans="1:4" x14ac:dyDescent="0.25">
      <c r="A5183" t="str">
        <f>T("   852792")</f>
        <v xml:space="preserve">   852792</v>
      </c>
      <c r="B5183" t="str">
        <f>T("   RÉCEPTEURS DE RADIODIFFUSION, NE POUVANT FONCTIONNER QU'AVEC UNE SOURCE D'ÉNERGIE EXTÉRIEURE, NON-COMBINÉS À UN APPAREIL D'ENREGISTREMENT OU DE REPRODUCTION DU SON, MAIS COMBINÉS À UN APPAREIL D'HORLOGERIE (AUTRES QUE POUR VÉHICULES AUTOMOBILES)")</f>
        <v xml:space="preserve">   RÉCEPTEURS DE RADIODIFFUSION, NE POUVANT FONCTIONNER QU'AVEC UNE SOURCE D'ÉNERGIE EXTÉRIEURE, NON-COMBINÉS À UN APPAREIL D'ENREGISTREMENT OU DE REPRODUCTION DU SON, MAIS COMBINÉS À UN APPAREIL D'HORLOGERIE (AUTRES QUE POUR VÉHICULES AUTOMOBILES)</v>
      </c>
      <c r="C5183">
        <v>417486</v>
      </c>
      <c r="D5183">
        <v>9</v>
      </c>
    </row>
    <row r="5184" spans="1:4" x14ac:dyDescent="0.25">
      <c r="A5184" t="str">
        <f>T("   852799")</f>
        <v xml:space="preserve">   852799</v>
      </c>
      <c r="B5184"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5184">
        <v>39342659</v>
      </c>
      <c r="D5184">
        <v>1092</v>
      </c>
    </row>
    <row r="5185" spans="1:4" x14ac:dyDescent="0.25">
      <c r="A5185" t="str">
        <f>T("   852812")</f>
        <v xml:space="preserve">   852812</v>
      </c>
      <c r="B518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185">
        <v>2815705</v>
      </c>
      <c r="D5185">
        <v>2569</v>
      </c>
    </row>
    <row r="5186" spans="1:4" x14ac:dyDescent="0.25">
      <c r="A5186" t="str">
        <f>T("   852841")</f>
        <v xml:space="preserve">   852841</v>
      </c>
      <c r="B5186" t="str">
        <f>T("   MONITEURS À TUBE CATHODIQUE DES TYPES EXCLUSIVEMENT OU PRINCIPALEMENT DESTINÉS À UNE MACHINE AUTOMATIQUE DE TRAITEMENT DE L'INFORMATION DU N° 8471")</f>
        <v xml:space="preserve">   MONITEURS À TUBE CATHODIQUE DES TYPES EXCLUSIVEMENT OU PRINCIPALEMENT DESTINÉS À UNE MACHINE AUTOMATIQUE DE TRAITEMENT DE L'INFORMATION DU N° 8471</v>
      </c>
      <c r="C5186">
        <v>10000</v>
      </c>
      <c r="D5186">
        <v>20</v>
      </c>
    </row>
    <row r="5187" spans="1:4" x14ac:dyDescent="0.25">
      <c r="A5187" t="str">
        <f>T("   852849")</f>
        <v xml:space="preserve">   852849</v>
      </c>
      <c r="B5187"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5187">
        <v>3515712</v>
      </c>
      <c r="D5187">
        <v>4104</v>
      </c>
    </row>
    <row r="5188" spans="1:4" x14ac:dyDescent="0.25">
      <c r="A5188" t="str">
        <f>T("   852859")</f>
        <v xml:space="preserve">   852859</v>
      </c>
      <c r="B5188"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5188">
        <v>14066453</v>
      </c>
      <c r="D5188">
        <v>6754</v>
      </c>
    </row>
    <row r="5189" spans="1:4" x14ac:dyDescent="0.25">
      <c r="A5189" t="str">
        <f>T("   852861")</f>
        <v xml:space="preserve">   852861</v>
      </c>
      <c r="B5189" t="str">
        <f>T("   PROJECTEURS DES TYPES EXCLUSIVEMENT OU PRINCIPALEMENT DESTINÉS À UNE MACHINE AUTOMATIQUE DE TRAITEMENT DE L'INFORMATION DU N° 8471")</f>
        <v xml:space="preserve">   PROJECTEURS DES TYPES EXCLUSIVEMENT OU PRINCIPALEMENT DESTINÉS À UNE MACHINE AUTOMATIQUE DE TRAITEMENT DE L'INFORMATION DU N° 8471</v>
      </c>
      <c r="C5189">
        <v>325000</v>
      </c>
      <c r="D5189">
        <v>200</v>
      </c>
    </row>
    <row r="5190" spans="1:4" x14ac:dyDescent="0.25">
      <c r="A5190" t="str">
        <f>T("   852869")</f>
        <v xml:space="preserve">   852869</v>
      </c>
      <c r="B5190"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5190">
        <v>2963136</v>
      </c>
      <c r="D5190">
        <v>73</v>
      </c>
    </row>
    <row r="5191" spans="1:4" x14ac:dyDescent="0.25">
      <c r="A5191" t="str">
        <f>T("   852871")</f>
        <v xml:space="preserve">   852871</v>
      </c>
      <c r="B5191"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5191">
        <v>208015705</v>
      </c>
      <c r="D5191">
        <v>31915</v>
      </c>
    </row>
    <row r="5192" spans="1:4" x14ac:dyDescent="0.25">
      <c r="A5192" t="str">
        <f>T("   852872")</f>
        <v xml:space="preserve">   852872</v>
      </c>
      <c r="B5192" t="str">
        <f>T("   APPAREILS RÉCEPTEURS DE TÉLÉVISION EN COULEURS, MÊME INCORPORANT UN APPAREIL RÉCEPTEUR DE RADIODIFFUSION OU UN APPAREIL D'ENREGISTREMENT OU DE REPRODUCTION DU SON OU DES IMAGES, CONÇUS POUR INCORPORER UN DISPOSITIF D'AFFICHAGE OU UN ÉCRAN VIDÉO")</f>
        <v xml:space="preserve">   APPAREILS RÉCEPTEURS DE TÉLÉVISION EN COULEURS, MÊME INCORPORANT UN APPAREIL RÉCEPTEUR DE RADIODIFFUSION OU UN APPAREIL D'ENREGISTREMENT OU DE REPRODUCTION DU SON OU DES IMAGES, CONÇUS POUR INCORPORER UN DISPOSITIF D'AFFICHAGE OU UN ÉCRAN VIDÉO</v>
      </c>
      <c r="C5192">
        <v>858166</v>
      </c>
      <c r="D5192">
        <v>226</v>
      </c>
    </row>
    <row r="5193" spans="1:4" x14ac:dyDescent="0.25">
      <c r="A5193" t="str">
        <f>T("   852873")</f>
        <v xml:space="preserve">   852873</v>
      </c>
      <c r="B5193" t="s">
        <v>495</v>
      </c>
      <c r="C5193">
        <v>1000000</v>
      </c>
      <c r="D5193">
        <v>6000</v>
      </c>
    </row>
    <row r="5194" spans="1:4" x14ac:dyDescent="0.25">
      <c r="A5194" t="str">
        <f>T("   852910")</f>
        <v xml:space="preserve">   852910</v>
      </c>
      <c r="B519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194">
        <v>230863816</v>
      </c>
      <c r="D5194">
        <v>111733</v>
      </c>
    </row>
    <row r="5195" spans="1:4" x14ac:dyDescent="0.25">
      <c r="A5195" t="str">
        <f>T("   852990")</f>
        <v xml:space="preserve">   852990</v>
      </c>
      <c r="B5195" t="s">
        <v>496</v>
      </c>
      <c r="C5195">
        <v>215576775</v>
      </c>
      <c r="D5195">
        <v>6926</v>
      </c>
    </row>
    <row r="5196" spans="1:4" x14ac:dyDescent="0.25">
      <c r="A5196" t="str">
        <f>T("   853080")</f>
        <v xml:space="preserve">   853080</v>
      </c>
      <c r="B5196"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5196">
        <v>51655682</v>
      </c>
      <c r="D5196">
        <v>1028</v>
      </c>
    </row>
    <row r="5197" spans="1:4" x14ac:dyDescent="0.25">
      <c r="A5197" t="str">
        <f>T("   853110")</f>
        <v xml:space="preserve">   853110</v>
      </c>
      <c r="B5197" t="str">
        <f>T("   Avertisseurs électriques pour la protection contre le vol ou l'incendie et appareils simil.")</f>
        <v xml:space="preserve">   Avertisseurs électriques pour la protection contre le vol ou l'incendie et appareils simil.</v>
      </c>
      <c r="C5197">
        <v>14245885</v>
      </c>
      <c r="D5197">
        <v>643</v>
      </c>
    </row>
    <row r="5198" spans="1:4" x14ac:dyDescent="0.25">
      <c r="A5198" t="str">
        <f>T("   853120")</f>
        <v xml:space="preserve">   853120</v>
      </c>
      <c r="B5198"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5198">
        <v>4088599</v>
      </c>
      <c r="D5198">
        <v>783</v>
      </c>
    </row>
    <row r="5199" spans="1:4" x14ac:dyDescent="0.25">
      <c r="A5199" t="str">
        <f>T("   853180")</f>
        <v xml:space="preserve">   853180</v>
      </c>
      <c r="B5199" t="s">
        <v>497</v>
      </c>
      <c r="C5199">
        <v>10223469</v>
      </c>
      <c r="D5199">
        <v>237.6</v>
      </c>
    </row>
    <row r="5200" spans="1:4" x14ac:dyDescent="0.25">
      <c r="A5200" t="str">
        <f>T("   853210")</f>
        <v xml:space="preserve">   853210</v>
      </c>
      <c r="B5200"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5200">
        <v>5592726</v>
      </c>
      <c r="D5200">
        <v>586</v>
      </c>
    </row>
    <row r="5201" spans="1:4" x14ac:dyDescent="0.25">
      <c r="A5201" t="str">
        <f>T("   853229")</f>
        <v xml:space="preserve">   853229</v>
      </c>
      <c r="B5201"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5201">
        <v>9596039</v>
      </c>
      <c r="D5201">
        <v>475</v>
      </c>
    </row>
    <row r="5202" spans="1:4" x14ac:dyDescent="0.25">
      <c r="A5202" t="str">
        <f>T("   853230")</f>
        <v xml:space="preserve">   853230</v>
      </c>
      <c r="B5202" t="str">
        <f>T("   Condensateurs électriques variables ou ajustables")</f>
        <v xml:space="preserve">   Condensateurs électriques variables ou ajustables</v>
      </c>
      <c r="C5202">
        <v>222390</v>
      </c>
      <c r="D5202">
        <v>3</v>
      </c>
    </row>
    <row r="5203" spans="1:4" x14ac:dyDescent="0.25">
      <c r="A5203" t="str">
        <f>T("   853290")</f>
        <v xml:space="preserve">   853290</v>
      </c>
      <c r="B5203" t="str">
        <f>T("   Parties de condensateurs électriques fixes, variables ou ajustables, n.d.a.")</f>
        <v xml:space="preserve">   Parties de condensateurs électriques fixes, variables ou ajustables, n.d.a.</v>
      </c>
      <c r="C5203">
        <v>840286</v>
      </c>
      <c r="D5203">
        <v>186</v>
      </c>
    </row>
    <row r="5204" spans="1:4" x14ac:dyDescent="0.25">
      <c r="A5204" t="str">
        <f>T("   853310")</f>
        <v xml:space="preserve">   853310</v>
      </c>
      <c r="B5204" t="str">
        <f>T("   Résistances électriques, fixes au carbone, agglomérées ou à couche (non chauffantes)")</f>
        <v xml:space="preserve">   Résistances électriques, fixes au carbone, agglomérées ou à couche (non chauffantes)</v>
      </c>
      <c r="C5204">
        <v>97312</v>
      </c>
      <c r="D5204">
        <v>3</v>
      </c>
    </row>
    <row r="5205" spans="1:4" x14ac:dyDescent="0.25">
      <c r="A5205" t="str">
        <f>T("   853339")</f>
        <v xml:space="preserve">   853339</v>
      </c>
      <c r="B5205"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5205">
        <v>2281973</v>
      </c>
      <c r="D5205">
        <v>212</v>
      </c>
    </row>
    <row r="5206" spans="1:4" x14ac:dyDescent="0.25">
      <c r="A5206" t="str">
        <f>T("   853340")</f>
        <v xml:space="preserve">   853340</v>
      </c>
      <c r="B5206"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5206">
        <v>9699992</v>
      </c>
      <c r="D5206">
        <v>123</v>
      </c>
    </row>
    <row r="5207" spans="1:4" x14ac:dyDescent="0.25">
      <c r="A5207" t="str">
        <f>T("   853400")</f>
        <v xml:space="preserve">   853400</v>
      </c>
      <c r="B5207" t="str">
        <f>T("   Circuits imprimés")</f>
        <v xml:space="preserve">   Circuits imprimés</v>
      </c>
      <c r="C5207">
        <v>165820</v>
      </c>
      <c r="D5207">
        <v>2</v>
      </c>
    </row>
    <row r="5208" spans="1:4" x14ac:dyDescent="0.25">
      <c r="A5208" t="str">
        <f>T("   853510")</f>
        <v xml:space="preserve">   853510</v>
      </c>
      <c r="B5208" t="str">
        <f>T("   Fusibles et coupe-circuit à fusibles, pour une tension &gt; 1.000 V")</f>
        <v xml:space="preserve">   Fusibles et coupe-circuit à fusibles, pour une tension &gt; 1.000 V</v>
      </c>
      <c r="C5208">
        <v>68875</v>
      </c>
      <c r="D5208">
        <v>1</v>
      </c>
    </row>
    <row r="5209" spans="1:4" x14ac:dyDescent="0.25">
      <c r="A5209" t="str">
        <f>T("   853529")</f>
        <v xml:space="preserve">   853529</v>
      </c>
      <c r="B5209" t="str">
        <f>T("   Disjoncteurs, pour une tension &gt;= 72,5 kV")</f>
        <v xml:space="preserve">   Disjoncteurs, pour une tension &gt;= 72,5 kV</v>
      </c>
      <c r="C5209">
        <v>491301829</v>
      </c>
      <c r="D5209">
        <v>68011</v>
      </c>
    </row>
    <row r="5210" spans="1:4" x14ac:dyDescent="0.25">
      <c r="A5210" t="str">
        <f>T("   853530")</f>
        <v xml:space="preserve">   853530</v>
      </c>
      <c r="B5210" t="str">
        <f>T("   Sectionneurs et interrupteurs, pour une tension &gt; 1.000 V")</f>
        <v xml:space="preserve">   Sectionneurs et interrupteurs, pour une tension &gt; 1.000 V</v>
      </c>
      <c r="C5210">
        <v>7140978</v>
      </c>
      <c r="D5210">
        <v>1661.27</v>
      </c>
    </row>
    <row r="5211" spans="1:4" x14ac:dyDescent="0.25">
      <c r="A5211" t="str">
        <f>T("   853540")</f>
        <v xml:space="preserve">   853540</v>
      </c>
      <c r="B5211" t="str">
        <f>T("   Parafoudres, limiteurs de tension et étaleurs d'ondes, pour une tension &gt; 1.000 V")</f>
        <v xml:space="preserve">   Parafoudres, limiteurs de tension et étaleurs d'ondes, pour une tension &gt; 1.000 V</v>
      </c>
      <c r="C5211">
        <v>45130679</v>
      </c>
      <c r="D5211">
        <v>2297</v>
      </c>
    </row>
    <row r="5212" spans="1:4" x14ac:dyDescent="0.25">
      <c r="A5212" t="str">
        <f>T("   853590")</f>
        <v xml:space="preserve">   853590</v>
      </c>
      <c r="B5212" t="s">
        <v>498</v>
      </c>
      <c r="C5212">
        <v>642390604</v>
      </c>
      <c r="D5212">
        <v>39682.5</v>
      </c>
    </row>
    <row r="5213" spans="1:4" x14ac:dyDescent="0.25">
      <c r="A5213" t="str">
        <f>T("   853610")</f>
        <v xml:space="preserve">   853610</v>
      </c>
      <c r="B5213" t="str">
        <f>T("   Fusibles et coupe-circuit à fusibles, pour une tension &lt;= 1.000 V")</f>
        <v xml:space="preserve">   Fusibles et coupe-circuit à fusibles, pour une tension &lt;= 1.000 V</v>
      </c>
      <c r="C5213">
        <v>8248794</v>
      </c>
      <c r="D5213">
        <v>612</v>
      </c>
    </row>
    <row r="5214" spans="1:4" x14ac:dyDescent="0.25">
      <c r="A5214" t="str">
        <f>T("   853620")</f>
        <v xml:space="preserve">   853620</v>
      </c>
      <c r="B5214" t="str">
        <f>T("   Disjoncteurs, pour une tension &lt;= 1.000 V")</f>
        <v xml:space="preserve">   Disjoncteurs, pour une tension &lt;= 1.000 V</v>
      </c>
      <c r="C5214">
        <v>139780660</v>
      </c>
      <c r="D5214">
        <v>20285.080000000002</v>
      </c>
    </row>
    <row r="5215" spans="1:4" x14ac:dyDescent="0.25">
      <c r="A5215" t="str">
        <f>T("   853630")</f>
        <v xml:space="preserve">   853630</v>
      </c>
      <c r="B5215"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5215">
        <v>18934841</v>
      </c>
      <c r="D5215">
        <v>1231</v>
      </c>
    </row>
    <row r="5216" spans="1:4" x14ac:dyDescent="0.25">
      <c r="A5216" t="str">
        <f>T("   853641")</f>
        <v xml:space="preserve">   853641</v>
      </c>
      <c r="B5216" t="str">
        <f>T("   Relais pour une tension &lt;= 60 V")</f>
        <v xml:space="preserve">   Relais pour une tension &lt;= 60 V</v>
      </c>
      <c r="C5216">
        <v>1999506</v>
      </c>
      <c r="D5216">
        <v>60.5</v>
      </c>
    </row>
    <row r="5217" spans="1:4" x14ac:dyDescent="0.25">
      <c r="A5217" t="str">
        <f>T("   853649")</f>
        <v xml:space="preserve">   853649</v>
      </c>
      <c r="B5217" t="str">
        <f>T("   Relais, pour une tension &gt; 60 V mais &lt;= 1.000 V")</f>
        <v xml:space="preserve">   Relais, pour une tension &gt; 60 V mais &lt;= 1.000 V</v>
      </c>
      <c r="C5217">
        <v>43039976</v>
      </c>
      <c r="D5217">
        <v>2967.08</v>
      </c>
    </row>
    <row r="5218" spans="1:4" x14ac:dyDescent="0.25">
      <c r="A5218" t="str">
        <f>T("   853650")</f>
        <v xml:space="preserve">   853650</v>
      </c>
      <c r="B5218" t="str">
        <f>T("   Interrupteurs, sectionneurs et commutateurs, pour une tension &lt;= 1.000 V (autres que relais et disjoncteurs)")</f>
        <v xml:space="preserve">   Interrupteurs, sectionneurs et commutateurs, pour une tension &lt;= 1.000 V (autres que relais et disjoncteurs)</v>
      </c>
      <c r="C5218">
        <v>77672736</v>
      </c>
      <c r="D5218">
        <v>41112.6</v>
      </c>
    </row>
    <row r="5219" spans="1:4" x14ac:dyDescent="0.25">
      <c r="A5219" t="str">
        <f>T("   853661")</f>
        <v xml:space="preserve">   853661</v>
      </c>
      <c r="B5219" t="str">
        <f>T("   Douilles pour lampes, pour une tension &lt;= 1.000 V")</f>
        <v xml:space="preserve">   Douilles pour lampes, pour une tension &lt;= 1.000 V</v>
      </c>
      <c r="C5219">
        <v>111854</v>
      </c>
      <c r="D5219">
        <v>4</v>
      </c>
    </row>
    <row r="5220" spans="1:4" x14ac:dyDescent="0.25">
      <c r="A5220" t="str">
        <f>T("   853669")</f>
        <v xml:space="preserve">   853669</v>
      </c>
      <c r="B5220" t="str">
        <f>T("   Fiches et prises de courant, pour une tension &lt;= 1.000 V (sauf douilles pour lampes)")</f>
        <v xml:space="preserve">   Fiches et prises de courant, pour une tension &lt;= 1.000 V (sauf douilles pour lampes)</v>
      </c>
      <c r="C5220">
        <v>98774069</v>
      </c>
      <c r="D5220">
        <v>17585.25</v>
      </c>
    </row>
    <row r="5221" spans="1:4" x14ac:dyDescent="0.25">
      <c r="A5221" t="str">
        <f>T("   853690")</f>
        <v xml:space="preserve">   853690</v>
      </c>
      <c r="B5221" t="s">
        <v>499</v>
      </c>
      <c r="C5221">
        <v>210265342</v>
      </c>
      <c r="D5221">
        <v>16638.41</v>
      </c>
    </row>
    <row r="5222" spans="1:4" x14ac:dyDescent="0.25">
      <c r="A5222" t="str">
        <f>T("   853710")</f>
        <v xml:space="preserve">   853710</v>
      </c>
      <c r="B5222"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222">
        <v>554466238</v>
      </c>
      <c r="D5222">
        <v>25364.7</v>
      </c>
    </row>
    <row r="5223" spans="1:4" x14ac:dyDescent="0.25">
      <c r="A5223" t="str">
        <f>T("   853720")</f>
        <v xml:space="preserve">   853720</v>
      </c>
      <c r="B522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223">
        <v>100811995</v>
      </c>
      <c r="D5223">
        <v>13144</v>
      </c>
    </row>
    <row r="5224" spans="1:4" x14ac:dyDescent="0.25">
      <c r="A5224" t="str">
        <f>T("   853810")</f>
        <v xml:space="preserve">   853810</v>
      </c>
      <c r="B5224" t="str">
        <f>T("   Tableaux, panneaux, consoles, pupitres, armoires et autres supports pour articles du n° 8537, dépourvus de leurs appareils")</f>
        <v xml:space="preserve">   Tableaux, panneaux, consoles, pupitres, armoires et autres supports pour articles du n° 8537, dépourvus de leurs appareils</v>
      </c>
      <c r="C5224">
        <v>532120176</v>
      </c>
      <c r="D5224">
        <v>176698</v>
      </c>
    </row>
    <row r="5225" spans="1:4" x14ac:dyDescent="0.25">
      <c r="A5225" t="str">
        <f>T("   853890")</f>
        <v xml:space="preserve">   853890</v>
      </c>
      <c r="B5225" t="s">
        <v>500</v>
      </c>
      <c r="C5225">
        <v>853018154</v>
      </c>
      <c r="D5225">
        <v>36699.620000000003</v>
      </c>
    </row>
    <row r="5226" spans="1:4" x14ac:dyDescent="0.25">
      <c r="A5226" t="str">
        <f>T("   853910")</f>
        <v xml:space="preserve">   853910</v>
      </c>
      <c r="B5226" t="str">
        <f>T("   Phares et projecteurs scellés")</f>
        <v xml:space="preserve">   Phares et projecteurs scellés</v>
      </c>
      <c r="C5226">
        <v>11245268</v>
      </c>
      <c r="D5226">
        <v>901</v>
      </c>
    </row>
    <row r="5227" spans="1:4" x14ac:dyDescent="0.25">
      <c r="A5227" t="str">
        <f>T("   853921")</f>
        <v xml:space="preserve">   853921</v>
      </c>
      <c r="B5227" t="str">
        <f>T("   Lampes et tubes halogènes, au tungstène (autres que phares et projecteurs scellés)")</f>
        <v xml:space="preserve">   Lampes et tubes halogènes, au tungstène (autres que phares et projecteurs scellés)</v>
      </c>
      <c r="C5227">
        <v>2636959</v>
      </c>
      <c r="D5227">
        <v>210</v>
      </c>
    </row>
    <row r="5228" spans="1:4" x14ac:dyDescent="0.25">
      <c r="A5228" t="str">
        <f>T("   853922")</f>
        <v xml:space="preserve">   853922</v>
      </c>
      <c r="B5228" t="str">
        <f>T("   Lampes et tubes à incandescence, puissance &lt;= 200 W, tension &gt; 100 V (autres que lampes et tubes halogènes, au tungstène et lampes à rayons ultraviolets ou infrarouges)")</f>
        <v xml:space="preserve">   Lampes et tubes à incandescence, puissance &lt;= 200 W, tension &gt; 100 V (autres que lampes et tubes halogènes, au tungstène et lampes à rayons ultraviolets ou infrarouges)</v>
      </c>
      <c r="C5228">
        <v>7983722</v>
      </c>
      <c r="D5228">
        <v>929</v>
      </c>
    </row>
    <row r="5229" spans="1:4" x14ac:dyDescent="0.25">
      <c r="A5229" t="str">
        <f>T("   853929")</f>
        <v xml:space="preserve">   853929</v>
      </c>
      <c r="B5229"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5229">
        <v>7675107</v>
      </c>
      <c r="D5229">
        <v>7854.4</v>
      </c>
    </row>
    <row r="5230" spans="1:4" x14ac:dyDescent="0.25">
      <c r="A5230" t="str">
        <f>T("   853931")</f>
        <v xml:space="preserve">   853931</v>
      </c>
      <c r="B5230" t="str">
        <f>T("   Lampes et tubes à décharge, fluorescents, à cathode chaude")</f>
        <v xml:space="preserve">   Lampes et tubes à décharge, fluorescents, à cathode chaude</v>
      </c>
      <c r="C5230">
        <v>3539228</v>
      </c>
      <c r="D5230">
        <v>623</v>
      </c>
    </row>
    <row r="5231" spans="1:4" x14ac:dyDescent="0.25">
      <c r="A5231" t="str">
        <f>T("   853932")</f>
        <v xml:space="preserve">   853932</v>
      </c>
      <c r="B5231" t="str">
        <f>T("   Lampes à vapeur de mercure ou de sodium; lampes à halogénure métallique")</f>
        <v xml:space="preserve">   Lampes à vapeur de mercure ou de sodium; lampes à halogénure métallique</v>
      </c>
      <c r="C5231">
        <v>105293</v>
      </c>
      <c r="D5231">
        <v>12</v>
      </c>
    </row>
    <row r="5232" spans="1:4" x14ac:dyDescent="0.25">
      <c r="A5232" t="str">
        <f>T("   853939")</f>
        <v xml:space="preserve">   853939</v>
      </c>
      <c r="B5232"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5232">
        <v>62107189</v>
      </c>
      <c r="D5232">
        <v>3636</v>
      </c>
    </row>
    <row r="5233" spans="1:4" x14ac:dyDescent="0.25">
      <c r="A5233" t="str">
        <f>T("   853949")</f>
        <v xml:space="preserve">   853949</v>
      </c>
      <c r="B5233" t="str">
        <f>T("   Lampes et tubes à rayons ultraviolets ou infrarouges")</f>
        <v xml:space="preserve">   Lampes et tubes à rayons ultraviolets ou infrarouges</v>
      </c>
      <c r="C5233">
        <v>3997554</v>
      </c>
      <c r="D5233">
        <v>1019</v>
      </c>
    </row>
    <row r="5234" spans="1:4" x14ac:dyDescent="0.25">
      <c r="A5234" t="str">
        <f>T("   853990")</f>
        <v xml:space="preserve">   853990</v>
      </c>
      <c r="B5234"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5234">
        <v>1057676</v>
      </c>
      <c r="D5234">
        <v>43</v>
      </c>
    </row>
    <row r="5235" spans="1:4" x14ac:dyDescent="0.25">
      <c r="A5235" t="str">
        <f>T("   854089")</f>
        <v xml:space="preserve">   854089</v>
      </c>
      <c r="B5235" t="s">
        <v>501</v>
      </c>
      <c r="C5235">
        <v>245221</v>
      </c>
      <c r="D5235">
        <v>60</v>
      </c>
    </row>
    <row r="5236" spans="1:4" x14ac:dyDescent="0.25">
      <c r="A5236" t="str">
        <f>T("   854129")</f>
        <v xml:space="preserve">   854129</v>
      </c>
      <c r="B5236" t="str">
        <f>T("   Transistors à pouvoir de dissipation &gt;= 1 W (autres que phototransistors)")</f>
        <v xml:space="preserve">   Transistors à pouvoir de dissipation &gt;= 1 W (autres que phototransistors)</v>
      </c>
      <c r="C5236">
        <v>8164420</v>
      </c>
      <c r="D5236">
        <v>14</v>
      </c>
    </row>
    <row r="5237" spans="1:4" x14ac:dyDescent="0.25">
      <c r="A5237" t="str">
        <f>T("   854130")</f>
        <v xml:space="preserve">   854130</v>
      </c>
      <c r="B5237" t="str">
        <f>T("   Thyristors, diacs et triacs (autres que les dispositifs photosensibles)")</f>
        <v xml:space="preserve">   Thyristors, diacs et triacs (autres que les dispositifs photosensibles)</v>
      </c>
      <c r="C5237">
        <v>1082334</v>
      </c>
      <c r="D5237">
        <v>165</v>
      </c>
    </row>
    <row r="5238" spans="1:4" x14ac:dyDescent="0.25">
      <c r="A5238" t="str">
        <f>T("   854140")</f>
        <v xml:space="preserve">   854140</v>
      </c>
      <c r="B5238"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5238">
        <v>16911230</v>
      </c>
      <c r="D5238">
        <v>9871</v>
      </c>
    </row>
    <row r="5239" spans="1:4" x14ac:dyDescent="0.25">
      <c r="A5239" t="str">
        <f>T("   854150")</f>
        <v xml:space="preserve">   854150</v>
      </c>
      <c r="B5239" t="str">
        <f>T("   Dispositifs à semi-conducteur, n.d.a.")</f>
        <v xml:space="preserve">   Dispositifs à semi-conducteur, n.d.a.</v>
      </c>
      <c r="C5239">
        <v>1473201</v>
      </c>
      <c r="D5239">
        <v>18</v>
      </c>
    </row>
    <row r="5240" spans="1:4" x14ac:dyDescent="0.25">
      <c r="A5240" t="str">
        <f>T("   854190")</f>
        <v xml:space="preserve">   854190</v>
      </c>
      <c r="B5240" t="str">
        <f>T("   Parties des diodes, transistors et dispositifs simil. à semi-conducteur, dispositifs photosensibles à semi-conducteur, diodes émettrices de lumière et cristaux piézo-électriques montés, n.d.a.")</f>
        <v xml:space="preserve">   Parties des diodes, transistors et dispositifs simil. à semi-conducteur, dispositifs photosensibles à semi-conducteur, diodes émettrices de lumière et cristaux piézo-électriques montés, n.d.a.</v>
      </c>
      <c r="C5240">
        <v>209999</v>
      </c>
      <c r="D5240">
        <v>1</v>
      </c>
    </row>
    <row r="5241" spans="1:4" x14ac:dyDescent="0.25">
      <c r="A5241" t="str">
        <f>T("   854210")</f>
        <v xml:space="preserve">   854210</v>
      </c>
      <c r="B5241" t="str">
        <f>T("   Cartes munies d'un circuit intégré électronique [cartes intelligentes], munies ou non d'une piste magnétique")</f>
        <v xml:space="preserve">   Cartes munies d'un circuit intégré électronique [cartes intelligentes], munies ou non d'une piste magnétique</v>
      </c>
      <c r="C5241">
        <v>25717429</v>
      </c>
      <c r="D5241">
        <v>103</v>
      </c>
    </row>
    <row r="5242" spans="1:4" x14ac:dyDescent="0.25">
      <c r="A5242" t="str">
        <f>T("   854212")</f>
        <v xml:space="preserve">   854212</v>
      </c>
      <c r="B5242" t="str">
        <f>T("   CARTES MUNIES D'UN CIRCUIT INTEGRE MONOLITHIQUE NUMÉRIQUE, ÉLECTRONIQUE [CARTES INTELLIGENTES]")</f>
        <v xml:space="preserve">   CARTES MUNIES D'UN CIRCUIT INTEGRE MONOLITHIQUE NUMÉRIQUE, ÉLECTRONIQUE [CARTES INTELLIGENTES]</v>
      </c>
      <c r="C5242">
        <v>157430</v>
      </c>
      <c r="D5242">
        <v>0.4</v>
      </c>
    </row>
    <row r="5243" spans="1:4" x14ac:dyDescent="0.25">
      <c r="A5243" t="str">
        <f>T("   854221")</f>
        <v xml:space="preserve">   854221</v>
      </c>
      <c r="B5243" t="str">
        <f>T("   Circuits intégrés monolithiques, numériques (à l'excl. des cartes munies d'un circuit intégré électronique [cartes intelligentes])")</f>
        <v xml:space="preserve">   Circuits intégrés monolithiques, numériques (à l'excl. des cartes munies d'un circuit intégré électronique [cartes intelligentes])</v>
      </c>
      <c r="C5243">
        <v>16136616</v>
      </c>
      <c r="D5243">
        <v>20</v>
      </c>
    </row>
    <row r="5244" spans="1:4" x14ac:dyDescent="0.25">
      <c r="A5244" t="str">
        <f>T("   854229")</f>
        <v xml:space="preserve">   854229</v>
      </c>
      <c r="B5244" t="str">
        <f>T("   Circuits intégrés monolithiques, analogiques ou analogiques-numériques")</f>
        <v xml:space="preserve">   Circuits intégrés monolithiques, analogiques ou analogiques-numériques</v>
      </c>
      <c r="C5244">
        <v>1184664</v>
      </c>
      <c r="D5244">
        <v>1</v>
      </c>
    </row>
    <row r="5245" spans="1:4" x14ac:dyDescent="0.25">
      <c r="A5245" t="str">
        <f>T("   854231")</f>
        <v xml:space="preserve">   854231</v>
      </c>
      <c r="B5245" t="str">
        <f>T("   CIRCUITS INTÉGRÉS ÉLECTRONIQUES UTILISÉS COMME PROCESSEURS ET CONTRÔLEURS, MÊME COMBINÉS AVEC DES MÉMOIRES, DES CONVERTISSEURS, DES CIRCUITS LOGIQUES, DES AMPLIFICATEURS, DES HORLOGES, DES CIRCUITS DE SYNCHRONISATION OU D'AUTRES CIRCUITS")</f>
        <v xml:space="preserve">   CIRCUITS INTÉGRÉS ÉLECTRONIQUES UTILISÉS COMME PROCESSEURS ET CONTRÔLEURS, MÊME COMBINÉS AVEC DES MÉMOIRES, DES CONVERTISSEURS, DES CIRCUITS LOGIQUES, DES AMPLIFICATEURS, DES HORLOGES, DES CIRCUITS DE SYNCHRONISATION OU D'AUTRES CIRCUITS</v>
      </c>
      <c r="C5245">
        <v>585116</v>
      </c>
      <c r="D5245">
        <v>18.5</v>
      </c>
    </row>
    <row r="5246" spans="1:4" x14ac:dyDescent="0.25">
      <c r="A5246" t="str">
        <f>T("   854232")</f>
        <v xml:space="preserve">   854232</v>
      </c>
      <c r="B5246" t="str">
        <f>T("   CIRCUITS INTÉGRÉS ÉLECTRONIQUES UTILISÉS COMME MÉMOIRES")</f>
        <v xml:space="preserve">   CIRCUITS INTÉGRÉS ÉLECTRONIQUES UTILISÉS COMME MÉMOIRES</v>
      </c>
      <c r="C5246">
        <v>180074312</v>
      </c>
      <c r="D5246">
        <v>1725</v>
      </c>
    </row>
    <row r="5247" spans="1:4" x14ac:dyDescent="0.25">
      <c r="A5247" t="str">
        <f>T("   854239")</f>
        <v xml:space="preserve">   854239</v>
      </c>
      <c r="B5247" t="str">
        <f>T("   CIRCUITS INTÉGRÉS ÉLECTRONIQUES (À L'EXCL. DE CEUX UTILISÉS COMME PROCESSEURS, CONTRÔLEURS, MÉMOIRES ET AMPLIFICATEURS)")</f>
        <v xml:space="preserve">   CIRCUITS INTÉGRÉS ÉLECTRONIQUES (À L'EXCL. DE CEUX UTILISÉS COMME PROCESSEURS, CONTRÔLEURS, MÉMOIRES ET AMPLIFICATEURS)</v>
      </c>
      <c r="C5247">
        <v>98782465</v>
      </c>
      <c r="D5247">
        <v>928</v>
      </c>
    </row>
    <row r="5248" spans="1:4" x14ac:dyDescent="0.25">
      <c r="A5248" t="str">
        <f>T("   854320")</f>
        <v xml:space="preserve">   854320</v>
      </c>
      <c r="B5248" t="str">
        <f>T("   Générateurs de signaux électriques")</f>
        <v xml:space="preserve">   Générateurs de signaux électriques</v>
      </c>
      <c r="C5248">
        <v>604940</v>
      </c>
      <c r="D5248">
        <v>2</v>
      </c>
    </row>
    <row r="5249" spans="1:4" x14ac:dyDescent="0.25">
      <c r="A5249" t="str">
        <f>T("   854330")</f>
        <v xml:space="preserve">   854330</v>
      </c>
      <c r="B5249" t="str">
        <f>T("   Machines et appareils de galvanotechnique, d'électrolyse ou d'électrophorèse")</f>
        <v xml:space="preserve">   Machines et appareils de galvanotechnique, d'électrolyse ou d'électrophorèse</v>
      </c>
      <c r="C5249">
        <v>641903</v>
      </c>
      <c r="D5249">
        <v>2</v>
      </c>
    </row>
    <row r="5250" spans="1:4" x14ac:dyDescent="0.25">
      <c r="A5250" t="str">
        <f>T("   854370")</f>
        <v xml:space="preserve">   854370</v>
      </c>
      <c r="B5250" t="str">
        <f>T("   MACHINES ET APPAREILS ÉLECTRIQUES AYANT UNE FONCTION PROPRE, N.D.A. DANS LE CHAPITRE 85")</f>
        <v xml:space="preserve">   MACHINES ET APPAREILS ÉLECTRIQUES AYANT UNE FONCTION PROPRE, N.D.A. DANS LE CHAPITRE 85</v>
      </c>
      <c r="C5250">
        <v>1292897</v>
      </c>
      <c r="D5250">
        <v>72</v>
      </c>
    </row>
    <row r="5251" spans="1:4" x14ac:dyDescent="0.25">
      <c r="A5251" t="str">
        <f>T("   854390")</f>
        <v xml:space="preserve">   854390</v>
      </c>
      <c r="B5251" t="str">
        <f>T("   PARTIES DE MACHINES ET APPAREILS ÉLECTRIQUES AYANT UNE FONCTION PROPRE, N.D.A. DANS LE CHAPITRE 85")</f>
        <v xml:space="preserve">   PARTIES DE MACHINES ET APPAREILS ÉLECTRIQUES AYANT UNE FONCTION PROPRE, N.D.A. DANS LE CHAPITRE 85</v>
      </c>
      <c r="C5251">
        <v>3655972</v>
      </c>
      <c r="D5251">
        <v>438</v>
      </c>
    </row>
    <row r="5252" spans="1:4" x14ac:dyDescent="0.25">
      <c r="A5252" t="str">
        <f>T("   854411")</f>
        <v xml:space="preserve">   854411</v>
      </c>
      <c r="B5252" t="str">
        <f>T("   Fils pour bobinages pour l'électricité, en cuivre, isolés")</f>
        <v xml:space="preserve">   Fils pour bobinages pour l'électricité, en cuivre, isolés</v>
      </c>
      <c r="C5252">
        <v>4811625</v>
      </c>
      <c r="D5252">
        <v>4594</v>
      </c>
    </row>
    <row r="5253" spans="1:4" x14ac:dyDescent="0.25">
      <c r="A5253" t="str">
        <f>T("   854419")</f>
        <v xml:space="preserve">   854419</v>
      </c>
      <c r="B5253" t="str">
        <f>T("   Fils pour bobinages pour l'électricité, autres qu'en cuivre, isolés")</f>
        <v xml:space="preserve">   Fils pour bobinages pour l'électricité, autres qu'en cuivre, isolés</v>
      </c>
      <c r="C5253">
        <v>2130500</v>
      </c>
      <c r="D5253">
        <v>435</v>
      </c>
    </row>
    <row r="5254" spans="1:4" x14ac:dyDescent="0.25">
      <c r="A5254" t="str">
        <f>T("   854420")</f>
        <v xml:space="preserve">   854420</v>
      </c>
      <c r="B5254" t="str">
        <f>T("   Câbles coaxiaux et autres conducteurs électriques coaxiaux, isolés")</f>
        <v xml:space="preserve">   Câbles coaxiaux et autres conducteurs électriques coaxiaux, isolés</v>
      </c>
      <c r="C5254">
        <v>102014687</v>
      </c>
      <c r="D5254">
        <v>22827.5</v>
      </c>
    </row>
    <row r="5255" spans="1:4" x14ac:dyDescent="0.25">
      <c r="A5255" t="str">
        <f>T("   854430")</f>
        <v xml:space="preserve">   854430</v>
      </c>
      <c r="B5255" t="str">
        <f>T("   Jeux de fils pour bougies d'allumage et autres jeux de fils, pour moyens de transport")</f>
        <v xml:space="preserve">   Jeux de fils pour bougies d'allumage et autres jeux de fils, pour moyens de transport</v>
      </c>
      <c r="C5255">
        <v>5040349</v>
      </c>
      <c r="D5255">
        <v>290</v>
      </c>
    </row>
    <row r="5256" spans="1:4" x14ac:dyDescent="0.25">
      <c r="A5256" t="str">
        <f>T("   854442")</f>
        <v xml:space="preserve">   854442</v>
      </c>
      <c r="B5256" t="str">
        <f>T("   CONDUCTEURS ÉLECTRIQUES, POUR TENSION &lt;= 1.000 V, ISOLÉS, AVEC PIÈCES DE CONNEXION, N.D.A.")</f>
        <v xml:space="preserve">   CONDUCTEURS ÉLECTRIQUES, POUR TENSION &lt;= 1.000 V, ISOLÉS, AVEC PIÈCES DE CONNEXION, N.D.A.</v>
      </c>
      <c r="C5256">
        <v>92621018</v>
      </c>
      <c r="D5256">
        <v>23777</v>
      </c>
    </row>
    <row r="5257" spans="1:4" x14ac:dyDescent="0.25">
      <c r="A5257" t="str">
        <f>T("   854449")</f>
        <v xml:space="preserve">   854449</v>
      </c>
      <c r="B5257" t="str">
        <f>T("   CONDUCTEURS ÉLECTRIQUES, POUR TENSION &lt;= 1.000 V, ISOLÉS, SANS PIÈCES DE CONNEXION, N.D.A.")</f>
        <v xml:space="preserve">   CONDUCTEURS ÉLECTRIQUES, POUR TENSION &lt;= 1.000 V, ISOLÉS, SANS PIÈCES DE CONNEXION, N.D.A.</v>
      </c>
      <c r="C5257">
        <v>424864200</v>
      </c>
      <c r="D5257">
        <v>128889</v>
      </c>
    </row>
    <row r="5258" spans="1:4" x14ac:dyDescent="0.25">
      <c r="A5258" t="str">
        <f>T("   854459")</f>
        <v xml:space="preserve">   854459</v>
      </c>
      <c r="B5258" t="str">
        <f>T("   Conducteurs électriques, pour tension &gt; 80 V mais &lt;= 1.000 V, sans pièces de connexion, n.d.a.")</f>
        <v xml:space="preserve">   Conducteurs électriques, pour tension &gt; 80 V mais &lt;= 1.000 V, sans pièces de connexion, n.d.a.</v>
      </c>
      <c r="C5258">
        <v>2241789</v>
      </c>
      <c r="D5258">
        <v>202</v>
      </c>
    </row>
    <row r="5259" spans="1:4" x14ac:dyDescent="0.25">
      <c r="A5259" t="str">
        <f>T("   854460")</f>
        <v xml:space="preserve">   854460</v>
      </c>
      <c r="B5259" t="str">
        <f>T("   Conducteurs électriques, pour tension &gt; 1.000 V, n.d.a.")</f>
        <v xml:space="preserve">   Conducteurs électriques, pour tension &gt; 1.000 V, n.d.a.</v>
      </c>
      <c r="C5259">
        <v>652054120</v>
      </c>
      <c r="D5259">
        <v>179180</v>
      </c>
    </row>
    <row r="5260" spans="1:4" x14ac:dyDescent="0.25">
      <c r="A5260" t="str">
        <f>T("   854470")</f>
        <v xml:space="preserve">   854470</v>
      </c>
      <c r="B5260"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5260">
        <v>24844850</v>
      </c>
      <c r="D5260">
        <v>4655</v>
      </c>
    </row>
    <row r="5261" spans="1:4" x14ac:dyDescent="0.25">
      <c r="A5261" t="str">
        <f>T("   854519")</f>
        <v xml:space="preserve">   854519</v>
      </c>
      <c r="B5261" t="str">
        <f>T("   ÉLECTRODES EN GRAPHITE OU EN AUTRE CARBONE, POUR USAGES ÉLECTRIQUES (AUTRES QUE POUR FOURS)")</f>
        <v xml:space="preserve">   ÉLECTRODES EN GRAPHITE OU EN AUTRE CARBONE, POUR USAGES ÉLECTRIQUES (AUTRES QUE POUR FOURS)</v>
      </c>
      <c r="C5261">
        <v>183013</v>
      </c>
      <c r="D5261">
        <v>10</v>
      </c>
    </row>
    <row r="5262" spans="1:4" x14ac:dyDescent="0.25">
      <c r="A5262" t="str">
        <f>T("   854520")</f>
        <v xml:space="preserve">   854520</v>
      </c>
      <c r="B5262" t="str">
        <f>T("   Balais en charbon, pour usages électriques")</f>
        <v xml:space="preserve">   Balais en charbon, pour usages électriques</v>
      </c>
      <c r="C5262">
        <v>2386066</v>
      </c>
      <c r="D5262">
        <v>14</v>
      </c>
    </row>
    <row r="5263" spans="1:4" x14ac:dyDescent="0.25">
      <c r="A5263" t="str">
        <f>T("   854590")</f>
        <v xml:space="preserve">   854590</v>
      </c>
      <c r="B5263" t="str">
        <f>T("   Articles en graphite ou en autre carbone, pour usages électriques (autres qu'électrodes et balais)")</f>
        <v xml:space="preserve">   Articles en graphite ou en autre carbone, pour usages électriques (autres qu'électrodes et balais)</v>
      </c>
      <c r="C5263">
        <v>3477681</v>
      </c>
      <c r="D5263">
        <v>400</v>
      </c>
    </row>
    <row r="5264" spans="1:4" x14ac:dyDescent="0.25">
      <c r="A5264" t="str">
        <f>T("   854690")</f>
        <v xml:space="preserve">   854690</v>
      </c>
      <c r="B5264" t="str">
        <f>T("   Isolateurs pour usages électriques (sauf en verre ou en céramique et sauf pièces isolantes)")</f>
        <v xml:space="preserve">   Isolateurs pour usages électriques (sauf en verre ou en céramique et sauf pièces isolantes)</v>
      </c>
      <c r="C5264">
        <v>150247913</v>
      </c>
      <c r="D5264">
        <v>62915</v>
      </c>
    </row>
    <row r="5265" spans="1:4" x14ac:dyDescent="0.25">
      <c r="A5265" t="str">
        <f>T("   854720")</f>
        <v xml:space="preserve">   854720</v>
      </c>
      <c r="B5265" t="str">
        <f>T("   Pièces isolantes en matières plastiques, pour usages électriques")</f>
        <v xml:space="preserve">   Pièces isolantes en matières plastiques, pour usages électriques</v>
      </c>
      <c r="C5265">
        <v>320660</v>
      </c>
      <c r="D5265">
        <v>15</v>
      </c>
    </row>
    <row r="5266" spans="1:4" x14ac:dyDescent="0.25">
      <c r="A5266" t="str">
        <f>T("   854790")</f>
        <v xml:space="preserve">   854790</v>
      </c>
      <c r="B5266"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5266">
        <v>1030992</v>
      </c>
      <c r="D5266">
        <v>76.900000000000006</v>
      </c>
    </row>
    <row r="5267" spans="1:4" x14ac:dyDescent="0.25">
      <c r="A5267" t="str">
        <f>T("   854890")</f>
        <v xml:space="preserve">   854890</v>
      </c>
      <c r="B5267" t="str">
        <f>T("   PARTIES ÉLECTRIQUES DE MACHINES OU D'APPAREILS, N.D.A. DANS LE CHAPITRE 85")</f>
        <v xml:space="preserve">   PARTIES ÉLECTRIQUES DE MACHINES OU D'APPAREILS, N.D.A. DANS LE CHAPITRE 85</v>
      </c>
      <c r="C5267">
        <v>566465</v>
      </c>
      <c r="D5267">
        <v>9</v>
      </c>
    </row>
    <row r="5268" spans="1:4" x14ac:dyDescent="0.25">
      <c r="A5268" t="str">
        <f>T("   860799")</f>
        <v xml:space="preserve">   860799</v>
      </c>
      <c r="B5268" t="str">
        <f>T("   Parties de véhicules pour voies ferrées ou simil., du n° 8603, 8604, 8605 ou 8606, n.d.a.")</f>
        <v xml:space="preserve">   Parties de véhicules pour voies ferrées ou simil., du n° 8603, 8604, 8605 ou 8606, n.d.a.</v>
      </c>
      <c r="C5268">
        <v>105000</v>
      </c>
      <c r="D5268">
        <v>5.7</v>
      </c>
    </row>
    <row r="5269" spans="1:4" x14ac:dyDescent="0.25">
      <c r="A5269" t="str">
        <f>T("   860800")</f>
        <v xml:space="preserve">   860800</v>
      </c>
      <c r="B5269" t="s">
        <v>502</v>
      </c>
      <c r="C5269">
        <v>157220492</v>
      </c>
      <c r="D5269">
        <v>14457</v>
      </c>
    </row>
    <row r="5270" spans="1:4" x14ac:dyDescent="0.25">
      <c r="A5270" t="str">
        <f>T("   860900")</f>
        <v xml:space="preserve">   860900</v>
      </c>
      <c r="B5270"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270">
        <v>327606590</v>
      </c>
      <c r="D5270">
        <v>146860</v>
      </c>
    </row>
    <row r="5271" spans="1:4" x14ac:dyDescent="0.25">
      <c r="A5271" t="str">
        <f>T("   870110")</f>
        <v xml:space="preserve">   870110</v>
      </c>
      <c r="B5271"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5271">
        <v>4643994</v>
      </c>
      <c r="D5271">
        <v>3983</v>
      </c>
    </row>
    <row r="5272" spans="1:4" x14ac:dyDescent="0.25">
      <c r="A5272" t="str">
        <f>T("   870120")</f>
        <v xml:space="preserve">   870120</v>
      </c>
      <c r="B5272" t="str">
        <f>T("   Tracteurs routiers pour semi-remorques")</f>
        <v xml:space="preserve">   Tracteurs routiers pour semi-remorques</v>
      </c>
      <c r="C5272">
        <v>1371796179</v>
      </c>
      <c r="D5272">
        <v>3372262</v>
      </c>
    </row>
    <row r="5273" spans="1:4" x14ac:dyDescent="0.25">
      <c r="A5273" t="str">
        <f>T("   870130")</f>
        <v xml:space="preserve">   870130</v>
      </c>
      <c r="B5273" t="str">
        <f>T("   Tracteurs à chenilles (sauf motoculteurs à chenille)")</f>
        <v xml:space="preserve">   Tracteurs à chenilles (sauf motoculteurs à chenille)</v>
      </c>
      <c r="C5273">
        <v>2000000</v>
      </c>
      <c r="D5273">
        <v>8600</v>
      </c>
    </row>
    <row r="5274" spans="1:4" x14ac:dyDescent="0.25">
      <c r="A5274" t="str">
        <f>T("   870190")</f>
        <v xml:space="preserve">   870190</v>
      </c>
      <c r="B527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274">
        <v>119339475</v>
      </c>
      <c r="D5274">
        <v>55365</v>
      </c>
    </row>
    <row r="5275" spans="1:4" x14ac:dyDescent="0.25">
      <c r="A5275" t="str">
        <f>T("   870210")</f>
        <v xml:space="preserve">   870210</v>
      </c>
      <c r="B5275" t="s">
        <v>503</v>
      </c>
      <c r="C5275">
        <v>118039669</v>
      </c>
      <c r="D5275">
        <v>276455</v>
      </c>
    </row>
    <row r="5276" spans="1:4" x14ac:dyDescent="0.25">
      <c r="A5276" t="str">
        <f>T("   870290")</f>
        <v xml:space="preserve">   870290</v>
      </c>
      <c r="B5276" t="s">
        <v>504</v>
      </c>
      <c r="C5276">
        <v>43623349</v>
      </c>
      <c r="D5276">
        <v>91480</v>
      </c>
    </row>
    <row r="5277" spans="1:4" x14ac:dyDescent="0.25">
      <c r="A5277" t="str">
        <f>T("   870321")</f>
        <v xml:space="preserve">   870321</v>
      </c>
      <c r="B5277" t="s">
        <v>505</v>
      </c>
      <c r="C5277">
        <v>3149207</v>
      </c>
      <c r="D5277">
        <v>1665</v>
      </c>
    </row>
    <row r="5278" spans="1:4" x14ac:dyDescent="0.25">
      <c r="A5278" t="str">
        <f>T("   870322")</f>
        <v xml:space="preserve">   870322</v>
      </c>
      <c r="B5278" t="s">
        <v>506</v>
      </c>
      <c r="C5278">
        <v>1003615971</v>
      </c>
      <c r="D5278">
        <v>304196</v>
      </c>
    </row>
    <row r="5279" spans="1:4" x14ac:dyDescent="0.25">
      <c r="A5279" t="str">
        <f>T("   870323")</f>
        <v xml:space="preserve">   870323</v>
      </c>
      <c r="B5279" t="s">
        <v>507</v>
      </c>
      <c r="C5279">
        <v>928183597</v>
      </c>
      <c r="D5279">
        <v>418171</v>
      </c>
    </row>
    <row r="5280" spans="1:4" x14ac:dyDescent="0.25">
      <c r="A5280" t="str">
        <f>T("   870324")</f>
        <v xml:space="preserve">   870324</v>
      </c>
      <c r="B5280" t="s">
        <v>508</v>
      </c>
      <c r="C5280">
        <v>207713136</v>
      </c>
      <c r="D5280">
        <v>48627</v>
      </c>
    </row>
    <row r="5281" spans="1:4" x14ac:dyDescent="0.25">
      <c r="A5281" t="str">
        <f>T("   870331")</f>
        <v xml:space="preserve">   870331</v>
      </c>
      <c r="B5281" t="s">
        <v>509</v>
      </c>
      <c r="C5281">
        <v>3984109</v>
      </c>
      <c r="D5281">
        <v>2389</v>
      </c>
    </row>
    <row r="5282" spans="1:4" x14ac:dyDescent="0.25">
      <c r="A5282" t="str">
        <f>T("   870332")</f>
        <v xml:space="preserve">   870332</v>
      </c>
      <c r="B5282" t="s">
        <v>510</v>
      </c>
      <c r="C5282">
        <v>86879874</v>
      </c>
      <c r="D5282">
        <v>55034</v>
      </c>
    </row>
    <row r="5283" spans="1:4" x14ac:dyDescent="0.25">
      <c r="A5283" t="str">
        <f>T("   870333")</f>
        <v xml:space="preserve">   870333</v>
      </c>
      <c r="B5283" t="s">
        <v>511</v>
      </c>
      <c r="C5283">
        <v>295633820</v>
      </c>
      <c r="D5283">
        <v>73644</v>
      </c>
    </row>
    <row r="5284" spans="1:4" x14ac:dyDescent="0.25">
      <c r="A5284" t="str">
        <f>T("   870410")</f>
        <v xml:space="preserve">   870410</v>
      </c>
      <c r="B5284" t="str">
        <f>T("   Tombereaux automoteurs utilisés en dehors du réseau routier")</f>
        <v xml:space="preserve">   Tombereaux automoteurs utilisés en dehors du réseau routier</v>
      </c>
      <c r="C5284">
        <v>13271484</v>
      </c>
      <c r="D5284">
        <v>48390</v>
      </c>
    </row>
    <row r="5285" spans="1:4" x14ac:dyDescent="0.25">
      <c r="A5285" t="str">
        <f>T("   870421")</f>
        <v xml:space="preserve">   870421</v>
      </c>
      <c r="B5285" t="s">
        <v>512</v>
      </c>
      <c r="C5285">
        <v>887824684</v>
      </c>
      <c r="D5285">
        <v>389835</v>
      </c>
    </row>
    <row r="5286" spans="1:4" x14ac:dyDescent="0.25">
      <c r="A5286" t="str">
        <f>T("   870422")</f>
        <v xml:space="preserve">   870422</v>
      </c>
      <c r="B5286" t="s">
        <v>513</v>
      </c>
      <c r="C5286">
        <v>312352650</v>
      </c>
      <c r="D5286">
        <v>885562</v>
      </c>
    </row>
    <row r="5287" spans="1:4" x14ac:dyDescent="0.25">
      <c r="A5287" t="str">
        <f>T("   870423")</f>
        <v xml:space="preserve">   870423</v>
      </c>
      <c r="B5287" t="s">
        <v>514</v>
      </c>
      <c r="C5287">
        <v>899391566</v>
      </c>
      <c r="D5287">
        <v>1168628</v>
      </c>
    </row>
    <row r="5288" spans="1:4" x14ac:dyDescent="0.25">
      <c r="A5288" t="str">
        <f>T("   870431")</f>
        <v xml:space="preserve">   870431</v>
      </c>
      <c r="B5288" t="s">
        <v>515</v>
      </c>
      <c r="C5288">
        <v>128332528</v>
      </c>
      <c r="D5288">
        <v>172380</v>
      </c>
    </row>
    <row r="5289" spans="1:4" x14ac:dyDescent="0.25">
      <c r="A5289" t="str">
        <f>T("   870432")</f>
        <v xml:space="preserve">   870432</v>
      </c>
      <c r="B5289" t="s">
        <v>516</v>
      </c>
      <c r="C5289">
        <v>8645381</v>
      </c>
      <c r="D5289">
        <v>25740</v>
      </c>
    </row>
    <row r="5290" spans="1:4" x14ac:dyDescent="0.25">
      <c r="A5290" t="str">
        <f>T("   870490")</f>
        <v xml:space="preserve">   870490</v>
      </c>
      <c r="B5290"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5290">
        <v>3783932</v>
      </c>
      <c r="D5290">
        <v>9750</v>
      </c>
    </row>
    <row r="5291" spans="1:4" x14ac:dyDescent="0.25">
      <c r="A5291" t="str">
        <f>T("   870510")</f>
        <v xml:space="preserve">   870510</v>
      </c>
      <c r="B5291" t="str">
        <f>T("   Camions-grues (sauf dépanneuses)")</f>
        <v xml:space="preserve">   Camions-grues (sauf dépanneuses)</v>
      </c>
      <c r="C5291">
        <v>21305598</v>
      </c>
      <c r="D5291">
        <v>24750</v>
      </c>
    </row>
    <row r="5292" spans="1:4" x14ac:dyDescent="0.25">
      <c r="A5292" t="str">
        <f>T("   870530")</f>
        <v xml:space="preserve">   870530</v>
      </c>
      <c r="B5292" t="str">
        <f>T("   Voitures de lutte contre l'incendie (sauf véhicules affectés principalement au transport des sapeurs-pompiers)")</f>
        <v xml:space="preserve">   Voitures de lutte contre l'incendie (sauf véhicules affectés principalement au transport des sapeurs-pompiers)</v>
      </c>
      <c r="C5292">
        <v>23399564</v>
      </c>
      <c r="D5292">
        <v>10990</v>
      </c>
    </row>
    <row r="5293" spans="1:4" x14ac:dyDescent="0.25">
      <c r="A5293" t="str">
        <f>T("   870590")</f>
        <v xml:space="preserve">   870590</v>
      </c>
      <c r="B5293" t="s">
        <v>517</v>
      </c>
      <c r="C5293">
        <v>141537755</v>
      </c>
      <c r="D5293">
        <v>79167</v>
      </c>
    </row>
    <row r="5294" spans="1:4" x14ac:dyDescent="0.25">
      <c r="A5294" t="str">
        <f>T("   870600")</f>
        <v xml:space="preserve">   870600</v>
      </c>
      <c r="B5294" t="s">
        <v>518</v>
      </c>
      <c r="C5294">
        <v>4863287</v>
      </c>
      <c r="D5294">
        <v>31726</v>
      </c>
    </row>
    <row r="5295" spans="1:4" x14ac:dyDescent="0.25">
      <c r="A5295" t="str">
        <f>T("   870790")</f>
        <v xml:space="preserve">   870790</v>
      </c>
      <c r="B5295"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5295">
        <v>256118</v>
      </c>
      <c r="D5295">
        <v>96</v>
      </c>
    </row>
    <row r="5296" spans="1:4" x14ac:dyDescent="0.25">
      <c r="A5296" t="str">
        <f>T("   870810")</f>
        <v xml:space="preserve">   870810</v>
      </c>
      <c r="B5296"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5296">
        <v>282653</v>
      </c>
      <c r="D5296">
        <v>1</v>
      </c>
    </row>
    <row r="5297" spans="1:4" x14ac:dyDescent="0.25">
      <c r="A5297" t="str">
        <f>T("   870829")</f>
        <v xml:space="preserve">   870829</v>
      </c>
      <c r="B5297" t="s">
        <v>519</v>
      </c>
      <c r="C5297">
        <v>10811705</v>
      </c>
      <c r="D5297">
        <v>2200</v>
      </c>
    </row>
    <row r="5298" spans="1:4" x14ac:dyDescent="0.25">
      <c r="A5298" t="str">
        <f>T("   870830")</f>
        <v xml:space="preserve">   870830</v>
      </c>
      <c r="B5298"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5298">
        <v>651572</v>
      </c>
      <c r="D5298">
        <v>36</v>
      </c>
    </row>
    <row r="5299" spans="1:4" x14ac:dyDescent="0.25">
      <c r="A5299" t="str">
        <f>T("   870839")</f>
        <v xml:space="preserve">   870839</v>
      </c>
      <c r="B5299"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5299">
        <v>391254</v>
      </c>
      <c r="D5299">
        <v>1</v>
      </c>
    </row>
    <row r="5300" spans="1:4" x14ac:dyDescent="0.25">
      <c r="A5300" t="str">
        <f>T("   870840")</f>
        <v xml:space="preserve">   870840</v>
      </c>
      <c r="B5300"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5300">
        <v>1967880</v>
      </c>
      <c r="D5300">
        <v>700</v>
      </c>
    </row>
    <row r="5301" spans="1:4" x14ac:dyDescent="0.25">
      <c r="A5301" t="str">
        <f>T("   870870")</f>
        <v xml:space="preserve">   870870</v>
      </c>
      <c r="B5301"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301">
        <v>13552329</v>
      </c>
      <c r="D5301">
        <v>5854</v>
      </c>
    </row>
    <row r="5302" spans="1:4" x14ac:dyDescent="0.25">
      <c r="A5302" t="str">
        <f>T("   870880")</f>
        <v xml:space="preserve">   870880</v>
      </c>
      <c r="B5302" t="s">
        <v>520</v>
      </c>
      <c r="C5302">
        <v>3629151</v>
      </c>
      <c r="D5302">
        <v>168.25</v>
      </c>
    </row>
    <row r="5303" spans="1:4" x14ac:dyDescent="0.25">
      <c r="A5303" t="str">
        <f>T("   870891")</f>
        <v xml:space="preserve">   870891</v>
      </c>
      <c r="B5303"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303">
        <v>14019343</v>
      </c>
      <c r="D5303">
        <v>639</v>
      </c>
    </row>
    <row r="5304" spans="1:4" x14ac:dyDescent="0.25">
      <c r="A5304" t="str">
        <f>T("   870892")</f>
        <v xml:space="preserve">   870892</v>
      </c>
      <c r="B5304"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5304">
        <v>31899</v>
      </c>
      <c r="D5304">
        <v>2</v>
      </c>
    </row>
    <row r="5305" spans="1:4" x14ac:dyDescent="0.25">
      <c r="A5305" t="str">
        <f>T("   870893")</f>
        <v xml:space="preserve">   870893</v>
      </c>
      <c r="B5305"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5305">
        <v>931004</v>
      </c>
      <c r="D5305">
        <v>18.899999999999999</v>
      </c>
    </row>
    <row r="5306" spans="1:4" x14ac:dyDescent="0.25">
      <c r="A5306" t="str">
        <f>T("   870894")</f>
        <v xml:space="preserve">   870894</v>
      </c>
      <c r="B5306" t="s">
        <v>521</v>
      </c>
      <c r="C5306">
        <v>5989227</v>
      </c>
      <c r="D5306">
        <v>62.9</v>
      </c>
    </row>
    <row r="5307" spans="1:4" x14ac:dyDescent="0.25">
      <c r="A5307" t="str">
        <f>T("   870899")</f>
        <v xml:space="preserve">   870899</v>
      </c>
      <c r="B530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307">
        <v>704810692</v>
      </c>
      <c r="D5307">
        <v>122680.79</v>
      </c>
    </row>
    <row r="5308" spans="1:4" x14ac:dyDescent="0.25">
      <c r="A5308" t="str">
        <f>T("   870919")</f>
        <v xml:space="preserve">   870919</v>
      </c>
      <c r="B5308"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5308">
        <v>20483663</v>
      </c>
      <c r="D5308">
        <v>4390</v>
      </c>
    </row>
    <row r="5309" spans="1:4" x14ac:dyDescent="0.25">
      <c r="A5309" t="str">
        <f>T("   870990")</f>
        <v xml:space="preserve">   870990</v>
      </c>
      <c r="B5309"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5309">
        <v>1741006</v>
      </c>
      <c r="D5309">
        <v>215.5</v>
      </c>
    </row>
    <row r="5310" spans="1:4" x14ac:dyDescent="0.25">
      <c r="A5310" t="str">
        <f>T("   871000")</f>
        <v xml:space="preserve">   871000</v>
      </c>
      <c r="B5310" t="str">
        <f>T("   Chars et automobiles blindés de combat, armés ou non; leurs parties, n.d.a.")</f>
        <v xml:space="preserve">   Chars et automobiles blindés de combat, armés ou non; leurs parties, n.d.a.</v>
      </c>
      <c r="C5310">
        <v>46636789</v>
      </c>
      <c r="D5310">
        <v>3100</v>
      </c>
    </row>
    <row r="5311" spans="1:4" x14ac:dyDescent="0.25">
      <c r="A5311" t="str">
        <f>T("   871110")</f>
        <v xml:space="preserve">   871110</v>
      </c>
      <c r="B5311" t="str">
        <f>T("   Cyclomoteurs, à moteur à piston alternatif, cylindrée &lt;= 50 cm³, y.c. cycles à moteur auxiliaire")</f>
        <v xml:space="preserve">   Cyclomoteurs, à moteur à piston alternatif, cylindrée &lt;= 50 cm³, y.c. cycles à moteur auxiliaire</v>
      </c>
      <c r="C5311">
        <v>317922033</v>
      </c>
      <c r="D5311">
        <v>63373</v>
      </c>
    </row>
    <row r="5312" spans="1:4" x14ac:dyDescent="0.25">
      <c r="A5312" t="str">
        <f>T("   871120")</f>
        <v xml:space="preserve">   871120</v>
      </c>
      <c r="B5312" t="str">
        <f>T("   Motocycles à moteur à piston alternatif, cylindrée &gt; 50 cm³ mais &lt;= 250 cm³")</f>
        <v xml:space="preserve">   Motocycles à moteur à piston alternatif, cylindrée &gt; 50 cm³ mais &lt;= 250 cm³</v>
      </c>
      <c r="C5312">
        <v>140367585</v>
      </c>
      <c r="D5312">
        <v>45056</v>
      </c>
    </row>
    <row r="5313" spans="1:4" x14ac:dyDescent="0.25">
      <c r="A5313" t="str">
        <f>T("   871130")</f>
        <v xml:space="preserve">   871130</v>
      </c>
      <c r="B5313" t="str">
        <f>T("   Motocycles à moteur à piston alternatif, cylindrée &gt; 250 cm³ mais &lt;= 500 cm³")</f>
        <v xml:space="preserve">   Motocycles à moteur à piston alternatif, cylindrée &gt; 250 cm³ mais &lt;= 500 cm³</v>
      </c>
      <c r="C5313">
        <v>7216935</v>
      </c>
      <c r="D5313">
        <v>2893</v>
      </c>
    </row>
    <row r="5314" spans="1:4" x14ac:dyDescent="0.25">
      <c r="A5314" t="str">
        <f>T("   871140")</f>
        <v xml:space="preserve">   871140</v>
      </c>
      <c r="B5314" t="str">
        <f>T("   Motocycles à moteur à piston alternatif, cylindrée &gt; 500 cm³ mais &lt;= 800 cm³")</f>
        <v xml:space="preserve">   Motocycles à moteur à piston alternatif, cylindrée &gt; 500 cm³ mais &lt;= 800 cm³</v>
      </c>
      <c r="C5314">
        <v>1917136</v>
      </c>
      <c r="D5314">
        <v>2074</v>
      </c>
    </row>
    <row r="5315" spans="1:4" x14ac:dyDescent="0.25">
      <c r="A5315" t="str">
        <f>T("   871150")</f>
        <v xml:space="preserve">   871150</v>
      </c>
      <c r="B5315" t="str">
        <f>T("   Motocycles à moteur à piston alternatif, cylindrée &gt; 800 cm³")</f>
        <v xml:space="preserve">   Motocycles à moteur à piston alternatif, cylindrée &gt; 800 cm³</v>
      </c>
      <c r="C5315">
        <v>1845000</v>
      </c>
      <c r="D5315">
        <v>1000</v>
      </c>
    </row>
    <row r="5316" spans="1:4" x14ac:dyDescent="0.25">
      <c r="A5316" t="str">
        <f>T("   871190")</f>
        <v xml:space="preserve">   871190</v>
      </c>
      <c r="B5316" t="str">
        <f>T("   Side-cars")</f>
        <v xml:space="preserve">   Side-cars</v>
      </c>
      <c r="C5316">
        <v>27610934</v>
      </c>
      <c r="D5316">
        <v>115095</v>
      </c>
    </row>
    <row r="5317" spans="1:4" x14ac:dyDescent="0.25">
      <c r="A5317" t="str">
        <f>T("   871200")</f>
        <v xml:space="preserve">   871200</v>
      </c>
      <c r="B5317" t="str">
        <f>T("   BICYCLETTES ET AUTRES CYCLES, -Y.C. LES TRIPORTEURS-, SANS MOTEUR")</f>
        <v xml:space="preserve">   BICYCLETTES ET AUTRES CYCLES, -Y.C. LES TRIPORTEURS-, SANS MOTEUR</v>
      </c>
      <c r="C5317">
        <v>15428664</v>
      </c>
      <c r="D5317">
        <v>13827</v>
      </c>
    </row>
    <row r="5318" spans="1:4" x14ac:dyDescent="0.25">
      <c r="A5318" t="str">
        <f>T("   871310")</f>
        <v xml:space="preserve">   871310</v>
      </c>
      <c r="B5318" t="str">
        <f>T("   Fauteuils roulants et autres véhicules pour invalides (sans mécanisme de propulsion)")</f>
        <v xml:space="preserve">   Fauteuils roulants et autres véhicules pour invalides (sans mécanisme de propulsion)</v>
      </c>
      <c r="C5318">
        <v>1641269</v>
      </c>
      <c r="D5318">
        <v>3359</v>
      </c>
    </row>
    <row r="5319" spans="1:4" x14ac:dyDescent="0.25">
      <c r="A5319" t="str">
        <f>T("   871492")</f>
        <v xml:space="preserve">   871492</v>
      </c>
      <c r="B5319" t="str">
        <f>T("   Jantes et rayons, de bicyclettes")</f>
        <v xml:space="preserve">   Jantes et rayons, de bicyclettes</v>
      </c>
      <c r="C5319">
        <v>33000</v>
      </c>
      <c r="D5319">
        <v>250</v>
      </c>
    </row>
    <row r="5320" spans="1:4" x14ac:dyDescent="0.25">
      <c r="A5320" t="str">
        <f>T("   871499")</f>
        <v xml:space="preserve">   871499</v>
      </c>
      <c r="B5320" t="str">
        <f>T("   Parties et accessoires, de bicyclettes, n.d.a.")</f>
        <v xml:space="preserve">   Parties et accessoires, de bicyclettes, n.d.a.</v>
      </c>
      <c r="C5320">
        <v>42018583</v>
      </c>
      <c r="D5320">
        <v>2980</v>
      </c>
    </row>
    <row r="5321" spans="1:4" x14ac:dyDescent="0.25">
      <c r="A5321" t="str">
        <f>T("   871620")</f>
        <v xml:space="preserve">   871620</v>
      </c>
      <c r="B5321" t="str">
        <f>T("   Remorques et semi-remorques autochargeuses ou autodéchargeuses, pour usages agricoles")</f>
        <v xml:space="preserve">   Remorques et semi-remorques autochargeuses ou autodéchargeuses, pour usages agricoles</v>
      </c>
      <c r="C5321">
        <v>7171774</v>
      </c>
      <c r="D5321">
        <v>44130</v>
      </c>
    </row>
    <row r="5322" spans="1:4" x14ac:dyDescent="0.25">
      <c r="A5322" t="str">
        <f>T("   871631")</f>
        <v xml:space="preserve">   871631</v>
      </c>
      <c r="B5322" t="str">
        <f>T("   Remorques-citernes ne circulant pas sur rails")</f>
        <v xml:space="preserve">   Remorques-citernes ne circulant pas sur rails</v>
      </c>
      <c r="C5322">
        <v>9187788</v>
      </c>
      <c r="D5322">
        <v>41550</v>
      </c>
    </row>
    <row r="5323" spans="1:4" x14ac:dyDescent="0.25">
      <c r="A5323" t="str">
        <f>T("   871639")</f>
        <v xml:space="preserve">   871639</v>
      </c>
      <c r="B5323"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5323">
        <v>139057836</v>
      </c>
      <c r="D5323">
        <v>521745</v>
      </c>
    </row>
    <row r="5324" spans="1:4" x14ac:dyDescent="0.25">
      <c r="A5324" t="str">
        <f>T("   871640")</f>
        <v xml:space="preserve">   871640</v>
      </c>
      <c r="B532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324">
        <v>535512691</v>
      </c>
      <c r="D5324">
        <v>1398882</v>
      </c>
    </row>
    <row r="5325" spans="1:4" x14ac:dyDescent="0.25">
      <c r="A5325" t="str">
        <f>T("   871680")</f>
        <v xml:space="preserve">   871680</v>
      </c>
      <c r="B5325" t="str">
        <f>T("   Véhicules dirigés à la main et autres véhicules non automobiles, autres que remorques et semi-remorques")</f>
        <v xml:space="preserve">   Véhicules dirigés à la main et autres véhicules non automobiles, autres que remorques et semi-remorques</v>
      </c>
      <c r="C5325">
        <v>1034031</v>
      </c>
      <c r="D5325">
        <v>462</v>
      </c>
    </row>
    <row r="5326" spans="1:4" x14ac:dyDescent="0.25">
      <c r="A5326" t="str">
        <f>T("   871690")</f>
        <v xml:space="preserve">   871690</v>
      </c>
      <c r="B5326" t="str">
        <f>T("   PARTIES DE REMORQUES, SEMI-REMORQUES ET AUTRES VÉHICULES NON-AUTOMOBILES, N.D.A.")</f>
        <v xml:space="preserve">   PARTIES DE REMORQUES, SEMI-REMORQUES ET AUTRES VÉHICULES NON-AUTOMOBILES, N.D.A.</v>
      </c>
      <c r="C5326">
        <v>332106</v>
      </c>
      <c r="D5326">
        <v>2.2999999999999998</v>
      </c>
    </row>
    <row r="5327" spans="1:4" x14ac:dyDescent="0.25">
      <c r="A5327" t="str">
        <f>T("   880110")</f>
        <v xml:space="preserve">   880110</v>
      </c>
      <c r="B5327" t="str">
        <f>T("   PLANEURS ET AILES VOLANTES")</f>
        <v xml:space="preserve">   PLANEURS ET AILES VOLANTES</v>
      </c>
      <c r="C5327">
        <v>2454303</v>
      </c>
      <c r="D5327">
        <v>23</v>
      </c>
    </row>
    <row r="5328" spans="1:4" x14ac:dyDescent="0.25">
      <c r="A5328" t="str">
        <f>T("   880330")</f>
        <v xml:space="preserve">   880330</v>
      </c>
      <c r="B5328" t="str">
        <f>T("   Parties d'avions ou d'hélicoptères, n.d.a. (sauf planeurs)")</f>
        <v xml:space="preserve">   Parties d'avions ou d'hélicoptères, n.d.a. (sauf planeurs)</v>
      </c>
      <c r="C5328">
        <v>2742950</v>
      </c>
      <c r="D5328">
        <v>9.9</v>
      </c>
    </row>
    <row r="5329" spans="1:4" x14ac:dyDescent="0.25">
      <c r="A5329" t="str">
        <f>T("   880390")</f>
        <v xml:space="preserve">   880390</v>
      </c>
      <c r="B5329" t="str">
        <f>T("   Parties des véhicules aériens et spatiaux, n.d.a.")</f>
        <v xml:space="preserve">   Parties des véhicules aériens et spatiaux, n.d.a.</v>
      </c>
      <c r="C5329">
        <v>6736379</v>
      </c>
      <c r="D5329">
        <v>121</v>
      </c>
    </row>
    <row r="5330" spans="1:4" x14ac:dyDescent="0.25">
      <c r="A5330" t="str">
        <f>T("   880529")</f>
        <v xml:space="preserve">   880529</v>
      </c>
      <c r="B5330" t="str">
        <f>T("   Appareils au sol d'entraînement au vol, leurs parties, n.d.a. (à l'excl. des simulateurs de combat aérien et leurs parties)")</f>
        <v xml:space="preserve">   Appareils au sol d'entraînement au vol, leurs parties, n.d.a. (à l'excl. des simulateurs de combat aérien et leurs parties)</v>
      </c>
      <c r="C5330">
        <v>948256</v>
      </c>
      <c r="D5330">
        <v>16</v>
      </c>
    </row>
    <row r="5331" spans="1:4" x14ac:dyDescent="0.25">
      <c r="A5331" t="str">
        <f>T("   890399")</f>
        <v xml:space="preserve">   890399</v>
      </c>
      <c r="B5331"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5331">
        <v>3355269</v>
      </c>
      <c r="D5331">
        <v>2120</v>
      </c>
    </row>
    <row r="5332" spans="1:4" x14ac:dyDescent="0.25">
      <c r="A5332" t="str">
        <f>T("   900110")</f>
        <v xml:space="preserve">   900110</v>
      </c>
      <c r="B5332"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5332">
        <v>1366521</v>
      </c>
      <c r="D5332">
        <v>18</v>
      </c>
    </row>
    <row r="5333" spans="1:4" x14ac:dyDescent="0.25">
      <c r="A5333" t="str">
        <f>T("   900140")</f>
        <v xml:space="preserve">   900140</v>
      </c>
      <c r="B5333" t="str">
        <f>T("   Verres de lunetterie en verre")</f>
        <v xml:space="preserve">   Verres de lunetterie en verre</v>
      </c>
      <c r="C5333">
        <v>172736</v>
      </c>
      <c r="D5333">
        <v>53.64</v>
      </c>
    </row>
    <row r="5334" spans="1:4" x14ac:dyDescent="0.25">
      <c r="A5334" t="str">
        <f>T("   900190")</f>
        <v xml:space="preserve">   900190</v>
      </c>
      <c r="B5334"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5334">
        <v>58269</v>
      </c>
      <c r="D5334">
        <v>40</v>
      </c>
    </row>
    <row r="5335" spans="1:4" x14ac:dyDescent="0.25">
      <c r="A5335" t="str">
        <f>T("   900290")</f>
        <v xml:space="preserve">   900290</v>
      </c>
      <c r="B5335"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5335">
        <v>51822</v>
      </c>
      <c r="D5335">
        <v>165</v>
      </c>
    </row>
    <row r="5336" spans="1:4" x14ac:dyDescent="0.25">
      <c r="A5336" t="str">
        <f>T("   900319")</f>
        <v xml:space="preserve">   900319</v>
      </c>
      <c r="B5336" t="str">
        <f>T("   Montures de lunettes ou d'articles simil. (autres qu'en matières plastiques)")</f>
        <v xml:space="preserve">   Montures de lunettes ou d'articles simil. (autres qu'en matières plastiques)</v>
      </c>
      <c r="C5336">
        <v>100000</v>
      </c>
      <c r="D5336">
        <v>9.1</v>
      </c>
    </row>
    <row r="5337" spans="1:4" x14ac:dyDescent="0.25">
      <c r="A5337" t="str">
        <f>T("   900410")</f>
        <v xml:space="preserve">   900410</v>
      </c>
      <c r="B5337" t="str">
        <f>T("   Lunettes solaires")</f>
        <v xml:space="preserve">   Lunettes solaires</v>
      </c>
      <c r="C5337">
        <v>546415</v>
      </c>
      <c r="D5337">
        <v>69</v>
      </c>
    </row>
    <row r="5338" spans="1:4" x14ac:dyDescent="0.25">
      <c r="A5338" t="str">
        <f>T("   900490")</f>
        <v xml:space="preserve">   900490</v>
      </c>
      <c r="B533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5338">
        <v>4635626</v>
      </c>
      <c r="D5338">
        <v>2149.88</v>
      </c>
    </row>
    <row r="5339" spans="1:4" x14ac:dyDescent="0.25">
      <c r="A5339" t="str">
        <f>T("   900659")</f>
        <v xml:space="preserve">   900659</v>
      </c>
      <c r="B5339" t="s">
        <v>523</v>
      </c>
      <c r="C5339">
        <v>86128</v>
      </c>
      <c r="D5339">
        <v>20</v>
      </c>
    </row>
    <row r="5340" spans="1:4" x14ac:dyDescent="0.25">
      <c r="A5340" t="str">
        <f>T("   900719")</f>
        <v xml:space="preserve">   900719</v>
      </c>
      <c r="B5340" t="str">
        <f>T("   Caméras cinématographiques, pour films d'une largeur &gt;= 16 mm (à l'excl. des films double-8 mm)")</f>
        <v xml:space="preserve">   Caméras cinématographiques, pour films d'une largeur &gt;= 16 mm (à l'excl. des films double-8 mm)</v>
      </c>
      <c r="C5340">
        <v>17602909</v>
      </c>
      <c r="D5340">
        <v>932.91</v>
      </c>
    </row>
    <row r="5341" spans="1:4" x14ac:dyDescent="0.25">
      <c r="A5341" t="str">
        <f>T("   900720")</f>
        <v xml:space="preserve">   900720</v>
      </c>
      <c r="B5341" t="str">
        <f>T("   Projecteurs cinématographiques")</f>
        <v xml:space="preserve">   Projecteurs cinématographiques</v>
      </c>
      <c r="C5341">
        <v>622408</v>
      </c>
      <c r="D5341">
        <v>106</v>
      </c>
    </row>
    <row r="5342" spans="1:4" x14ac:dyDescent="0.25">
      <c r="A5342" t="str">
        <f>T("   900791")</f>
        <v xml:space="preserve">   900791</v>
      </c>
      <c r="B5342" t="str">
        <f>T("   PARTIES ET ACCESSOIRES DE CAMÉRAS CINEMATOGRAPHIQUES, N.D.A.")</f>
        <v xml:space="preserve">   PARTIES ET ACCESSOIRES DE CAMÉRAS CINEMATOGRAPHIQUES, N.D.A.</v>
      </c>
      <c r="C5342">
        <v>435659</v>
      </c>
      <c r="D5342">
        <v>47</v>
      </c>
    </row>
    <row r="5343" spans="1:4" x14ac:dyDescent="0.25">
      <c r="A5343" t="str">
        <f>T("   900810")</f>
        <v xml:space="preserve">   900810</v>
      </c>
      <c r="B5343" t="str">
        <f>T("   PROJECTEURS DE DIAPOSITIVES")</f>
        <v xml:space="preserve">   PROJECTEURS DE DIAPOSITIVES</v>
      </c>
      <c r="C5343">
        <v>249724</v>
      </c>
      <c r="D5343">
        <v>53</v>
      </c>
    </row>
    <row r="5344" spans="1:4" x14ac:dyDescent="0.25">
      <c r="A5344" t="str">
        <f>T("   900820")</f>
        <v xml:space="preserve">   900820</v>
      </c>
      <c r="B5344" t="str">
        <f>T("   Lecteurs de microfilms, de microfiches ou d'autres microformats, même permettant l'obtention de copies")</f>
        <v xml:space="preserve">   Lecteurs de microfilms, de microfiches ou d'autres microformats, même permettant l'obtention de copies</v>
      </c>
      <c r="C5344">
        <v>19056509</v>
      </c>
      <c r="D5344">
        <v>7539</v>
      </c>
    </row>
    <row r="5345" spans="1:4" x14ac:dyDescent="0.25">
      <c r="A5345" t="str">
        <f>T("   900840")</f>
        <v xml:space="preserve">   900840</v>
      </c>
      <c r="B5345" t="str">
        <f>T("   Appareils photographiques d'agrandissement ou de réduction")</f>
        <v xml:space="preserve">   Appareils photographiques d'agrandissement ou de réduction</v>
      </c>
      <c r="C5345">
        <v>1036016</v>
      </c>
      <c r="D5345">
        <v>153</v>
      </c>
    </row>
    <row r="5346" spans="1:4" x14ac:dyDescent="0.25">
      <c r="A5346" t="str">
        <f>T("   900922")</f>
        <v xml:space="preserve">   900922</v>
      </c>
      <c r="B5346" t="str">
        <f>T("   APPAREILS DE PHOTOCOPIE PAR CONTACT")</f>
        <v xml:space="preserve">   APPAREILS DE PHOTOCOPIE PAR CONTACT</v>
      </c>
      <c r="C5346">
        <v>50509</v>
      </c>
      <c r="D5346">
        <v>75</v>
      </c>
    </row>
    <row r="5347" spans="1:4" x14ac:dyDescent="0.25">
      <c r="A5347" t="str">
        <f>T("   901010")</f>
        <v xml:space="preserve">   901010</v>
      </c>
      <c r="B5347" t="s">
        <v>524</v>
      </c>
      <c r="C5347">
        <v>1562235</v>
      </c>
      <c r="D5347">
        <v>146</v>
      </c>
    </row>
    <row r="5348" spans="1:4" x14ac:dyDescent="0.25">
      <c r="A5348" t="str">
        <f>T("   901042")</f>
        <v xml:space="preserve">   901042</v>
      </c>
      <c r="B5348" t="str">
        <f>T("   Photorépéteurs")</f>
        <v xml:space="preserve">   Photorépéteurs</v>
      </c>
      <c r="C5348">
        <v>2741761</v>
      </c>
      <c r="D5348">
        <v>3070</v>
      </c>
    </row>
    <row r="5349" spans="1:4" x14ac:dyDescent="0.25">
      <c r="A5349" t="str">
        <f>T("   901060")</f>
        <v xml:space="preserve">   901060</v>
      </c>
      <c r="B5349" t="str">
        <f>T("   ECRANS POUR PROJECTIONS")</f>
        <v xml:space="preserve">   ECRANS POUR PROJECTIONS</v>
      </c>
      <c r="C5349">
        <v>870460</v>
      </c>
      <c r="D5349">
        <v>548</v>
      </c>
    </row>
    <row r="5350" spans="1:4" x14ac:dyDescent="0.25">
      <c r="A5350" t="str">
        <f>T("   901090")</f>
        <v xml:space="preserve">   901090</v>
      </c>
      <c r="B5350" t="str">
        <f>T("   Parties et accessoires des appareils et du matériel pour laboratoires photographiques ou cinématographiques, des négatoscopes et des écrans pour projections")</f>
        <v xml:space="preserve">   Parties et accessoires des appareils et du matériel pour laboratoires photographiques ou cinématographiques, des négatoscopes et des écrans pour projections</v>
      </c>
      <c r="C5350">
        <v>1250371</v>
      </c>
      <c r="D5350">
        <v>1011</v>
      </c>
    </row>
    <row r="5351" spans="1:4" x14ac:dyDescent="0.25">
      <c r="A5351" t="str">
        <f>T("   901180")</f>
        <v xml:space="preserve">   901180</v>
      </c>
      <c r="B5351" t="s">
        <v>525</v>
      </c>
      <c r="C5351">
        <v>369961</v>
      </c>
      <c r="D5351">
        <v>38</v>
      </c>
    </row>
    <row r="5352" spans="1:4" x14ac:dyDescent="0.25">
      <c r="A5352" t="str">
        <f>T("   901190")</f>
        <v xml:space="preserve">   901190</v>
      </c>
      <c r="B5352" t="str">
        <f>T("   Parties et accessoires de microscopes optiques, n.d.a.")</f>
        <v xml:space="preserve">   Parties et accessoires de microscopes optiques, n.d.a.</v>
      </c>
      <c r="C5352">
        <v>99706</v>
      </c>
      <c r="D5352">
        <v>27</v>
      </c>
    </row>
    <row r="5353" spans="1:4" x14ac:dyDescent="0.25">
      <c r="A5353" t="str">
        <f>T("   901210")</f>
        <v xml:space="preserve">   901210</v>
      </c>
      <c r="B5353" t="str">
        <f>T("   Microscopes électroniques, microscopes protoniques et diffractographes")</f>
        <v xml:space="preserve">   Microscopes électroniques, microscopes protoniques et diffractographes</v>
      </c>
      <c r="C5353">
        <v>485096</v>
      </c>
      <c r="D5353">
        <v>1226</v>
      </c>
    </row>
    <row r="5354" spans="1:4" x14ac:dyDescent="0.25">
      <c r="A5354" t="str">
        <f>T("   901380")</f>
        <v xml:space="preserve">   901380</v>
      </c>
      <c r="B5354" t="str">
        <f>T("   DISPOSITIFS À CRISTAUX LIQUIDES, N.D.A., ET AUTRES APPAREILS ET INSTRUMENTS D'OPTIQUE, N.D.A. DANS LE PRÉSENT CHAPITRE")</f>
        <v xml:space="preserve">   DISPOSITIFS À CRISTAUX LIQUIDES, N.D.A., ET AUTRES APPAREILS ET INSTRUMENTS D'OPTIQUE, N.D.A. DANS LE PRÉSENT CHAPITRE</v>
      </c>
      <c r="C5354">
        <v>1001643</v>
      </c>
      <c r="D5354">
        <v>23</v>
      </c>
    </row>
    <row r="5355" spans="1:4" x14ac:dyDescent="0.25">
      <c r="A5355" t="str">
        <f>T("   901390")</f>
        <v xml:space="preserve">   901390</v>
      </c>
      <c r="B5355" t="str">
        <f>T("   PARTIES ET ACCESSOIRES DE DISPOSITIFS À CRISTAUX LIQUIDES, LASERS ET AUTRES APPAREILS ET INSTRUMENTS, N.D.A. DANS LE PRÉSENT CHAPITRE")</f>
        <v xml:space="preserve">   PARTIES ET ACCESSOIRES DE DISPOSITIFS À CRISTAUX LIQUIDES, LASERS ET AUTRES APPAREILS ET INSTRUMENTS, N.D.A. DANS LE PRÉSENT CHAPITRE</v>
      </c>
      <c r="C5355">
        <v>34089586</v>
      </c>
      <c r="D5355">
        <v>367</v>
      </c>
    </row>
    <row r="5356" spans="1:4" x14ac:dyDescent="0.25">
      <c r="A5356" t="str">
        <f>T("   901410")</f>
        <v xml:space="preserve">   901410</v>
      </c>
      <c r="B5356" t="str">
        <f>T("   Boussoles, y.c. les compas de navigation")</f>
        <v xml:space="preserve">   Boussoles, y.c. les compas de navigation</v>
      </c>
      <c r="C5356">
        <v>1236484</v>
      </c>
      <c r="D5356">
        <v>99</v>
      </c>
    </row>
    <row r="5357" spans="1:4" x14ac:dyDescent="0.25">
      <c r="A5357" t="str">
        <f>T("   901490")</f>
        <v xml:space="preserve">   901490</v>
      </c>
      <c r="B5357" t="str">
        <f>T("   Parties et accessoires de boussoles et d'autres instruments et appareils de navigation, n.d.a.")</f>
        <v xml:space="preserve">   Parties et accessoires de boussoles et d'autres instruments et appareils de navigation, n.d.a.</v>
      </c>
      <c r="C5357">
        <v>4617033</v>
      </c>
      <c r="D5357">
        <v>86</v>
      </c>
    </row>
    <row r="5358" spans="1:4" x14ac:dyDescent="0.25">
      <c r="A5358" t="str">
        <f>T("   901510")</f>
        <v xml:space="preserve">   901510</v>
      </c>
      <c r="B5358" t="str">
        <f>T("   Télémètres")</f>
        <v xml:space="preserve">   Télémètres</v>
      </c>
      <c r="C5358">
        <v>354875</v>
      </c>
      <c r="D5358">
        <v>15</v>
      </c>
    </row>
    <row r="5359" spans="1:4" x14ac:dyDescent="0.25">
      <c r="A5359" t="str">
        <f>T("   901530")</f>
        <v xml:space="preserve">   901530</v>
      </c>
      <c r="B5359" t="str">
        <f>T("   Niveaux")</f>
        <v xml:space="preserve">   Niveaux</v>
      </c>
      <c r="C5359">
        <v>572797</v>
      </c>
      <c r="D5359">
        <v>246</v>
      </c>
    </row>
    <row r="5360" spans="1:4" x14ac:dyDescent="0.25">
      <c r="A5360" t="str">
        <f>T("   901580")</f>
        <v xml:space="preserve">   901580</v>
      </c>
      <c r="B5360" t="s">
        <v>526</v>
      </c>
      <c r="C5360">
        <v>101228660</v>
      </c>
      <c r="D5360">
        <v>1745</v>
      </c>
    </row>
    <row r="5361" spans="1:4" x14ac:dyDescent="0.25">
      <c r="A5361" t="str">
        <f>T("   901590")</f>
        <v xml:space="preserve">   901590</v>
      </c>
      <c r="B5361"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5361">
        <v>27802156</v>
      </c>
      <c r="D5361">
        <v>579</v>
      </c>
    </row>
    <row r="5362" spans="1:4" x14ac:dyDescent="0.25">
      <c r="A5362" t="str">
        <f>T("   901600")</f>
        <v xml:space="preserve">   901600</v>
      </c>
      <c r="B5362" t="str">
        <f>T("   Balances sensibles à un poids de 5 cg ou moins, avec ou sans poids")</f>
        <v xml:space="preserve">   Balances sensibles à un poids de 5 cg ou moins, avec ou sans poids</v>
      </c>
      <c r="C5362">
        <v>2978058</v>
      </c>
      <c r="D5362">
        <v>157</v>
      </c>
    </row>
    <row r="5363" spans="1:4" x14ac:dyDescent="0.25">
      <c r="A5363" t="str">
        <f>T("   901710")</f>
        <v xml:space="preserve">   901710</v>
      </c>
      <c r="B5363" t="str">
        <f>T("   Tables et machines à dessiner, même automatiques (à l'excl. des unités de machines automatiques de traitement de l'information)")</f>
        <v xml:space="preserve">   Tables et machines à dessiner, même automatiques (à l'excl. des unités de machines automatiques de traitement de l'information)</v>
      </c>
      <c r="C5363">
        <v>2000402</v>
      </c>
      <c r="D5363">
        <v>93</v>
      </c>
    </row>
    <row r="5364" spans="1:4" x14ac:dyDescent="0.25">
      <c r="A5364" t="str">
        <f>T("   901720")</f>
        <v xml:space="preserve">   901720</v>
      </c>
      <c r="B5364" t="str">
        <f>T("   Instruments de dessin, de traçage et de calcul (sauf tables et machines à dessiner ainsi que calculatrices)")</f>
        <v xml:space="preserve">   Instruments de dessin, de traçage et de calcul (sauf tables et machines à dessiner ainsi que calculatrices)</v>
      </c>
      <c r="C5364">
        <v>5062150</v>
      </c>
      <c r="D5364">
        <v>1650.5</v>
      </c>
    </row>
    <row r="5365" spans="1:4" x14ac:dyDescent="0.25">
      <c r="A5365" t="str">
        <f>T("   901730")</f>
        <v xml:space="preserve">   901730</v>
      </c>
      <c r="B5365" t="str">
        <f>T("   Micromètres, pieds à coulisses, calibres et jauges")</f>
        <v xml:space="preserve">   Micromètres, pieds à coulisses, calibres et jauges</v>
      </c>
      <c r="C5365">
        <v>6132786</v>
      </c>
      <c r="D5365">
        <v>138.80000000000001</v>
      </c>
    </row>
    <row r="5366" spans="1:4" x14ac:dyDescent="0.25">
      <c r="A5366" t="str">
        <f>T("   901780")</f>
        <v xml:space="preserve">   901780</v>
      </c>
      <c r="B5366" t="str">
        <f>T("   Instruments de mesure de longueurs, pour emploi à la main, n.d.a.")</f>
        <v xml:space="preserve">   Instruments de mesure de longueurs, pour emploi à la main, n.d.a.</v>
      </c>
      <c r="C5366">
        <v>2377105</v>
      </c>
      <c r="D5366">
        <v>752</v>
      </c>
    </row>
    <row r="5367" spans="1:4" x14ac:dyDescent="0.25">
      <c r="A5367" t="str">
        <f>T("   901790")</f>
        <v xml:space="preserve">   901790</v>
      </c>
      <c r="B5367" t="str">
        <f>T("   Parties et accessoires des instruments de dessin, de traçage ou de calcul et de mesure de longueurs pour emploi à la main, n.d.a.")</f>
        <v xml:space="preserve">   Parties et accessoires des instruments de dessin, de traçage ou de calcul et de mesure de longueurs pour emploi à la main, n.d.a.</v>
      </c>
      <c r="C5367">
        <v>235000</v>
      </c>
      <c r="D5367">
        <v>60</v>
      </c>
    </row>
    <row r="5368" spans="1:4" x14ac:dyDescent="0.25">
      <c r="A5368" t="str">
        <f>T("   901811")</f>
        <v xml:space="preserve">   901811</v>
      </c>
      <c r="B5368" t="str">
        <f>T("   ÉLECTROCARDIOGRAPHES")</f>
        <v xml:space="preserve">   ÉLECTROCARDIOGRAPHES</v>
      </c>
      <c r="C5368">
        <v>504433</v>
      </c>
      <c r="D5368">
        <v>6</v>
      </c>
    </row>
    <row r="5369" spans="1:4" x14ac:dyDescent="0.25">
      <c r="A5369" t="str">
        <f>T("   901812")</f>
        <v xml:space="preserve">   901812</v>
      </c>
      <c r="B5369" t="str">
        <f>T("   Appareils de diagnostic par balayage ultrasonique [scanners]")</f>
        <v xml:space="preserve">   Appareils de diagnostic par balayage ultrasonique [scanners]</v>
      </c>
      <c r="C5369">
        <v>2528782</v>
      </c>
      <c r="D5369">
        <v>427.8</v>
      </c>
    </row>
    <row r="5370" spans="1:4" x14ac:dyDescent="0.25">
      <c r="A5370" t="str">
        <f>T("   901819")</f>
        <v xml:space="preserve">   901819</v>
      </c>
      <c r="B5370" t="s">
        <v>527</v>
      </c>
      <c r="C5370">
        <v>42479205</v>
      </c>
      <c r="D5370">
        <v>2384</v>
      </c>
    </row>
    <row r="5371" spans="1:4" x14ac:dyDescent="0.25">
      <c r="A5371" t="str">
        <f>T("   901820")</f>
        <v xml:space="preserve">   901820</v>
      </c>
      <c r="B5371" t="str">
        <f>T("   Appareils à rayons ultraviolets ou infrarouges, pour la médecine")</f>
        <v xml:space="preserve">   Appareils à rayons ultraviolets ou infrarouges, pour la médecine</v>
      </c>
      <c r="C5371">
        <v>48062</v>
      </c>
      <c r="D5371">
        <v>35</v>
      </c>
    </row>
    <row r="5372" spans="1:4" x14ac:dyDescent="0.25">
      <c r="A5372" t="str">
        <f>T("   901831")</f>
        <v xml:space="preserve">   901831</v>
      </c>
      <c r="B5372" t="str">
        <f>T("   Seringues, avec ou sans aiguilles, pour la médecine")</f>
        <v xml:space="preserve">   Seringues, avec ou sans aiguilles, pour la médecine</v>
      </c>
      <c r="C5372">
        <v>30613080</v>
      </c>
      <c r="D5372">
        <v>2748</v>
      </c>
    </row>
    <row r="5373" spans="1:4" x14ac:dyDescent="0.25">
      <c r="A5373" t="str">
        <f>T("   901832")</f>
        <v xml:space="preserve">   901832</v>
      </c>
      <c r="B5373" t="str">
        <f>T("   Aiguilles tubulaires en métal et aiguilles à sutures, pour la médecine")</f>
        <v xml:space="preserve">   Aiguilles tubulaires en métal et aiguilles à sutures, pour la médecine</v>
      </c>
      <c r="C5373">
        <v>1509365</v>
      </c>
      <c r="D5373">
        <v>72</v>
      </c>
    </row>
    <row r="5374" spans="1:4" x14ac:dyDescent="0.25">
      <c r="A5374" t="str">
        <f>T("   901839")</f>
        <v xml:space="preserve">   901839</v>
      </c>
      <c r="B5374"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5374">
        <v>15606953</v>
      </c>
      <c r="D5374">
        <v>1370</v>
      </c>
    </row>
    <row r="5375" spans="1:4" x14ac:dyDescent="0.25">
      <c r="A5375" t="str">
        <f>T("   901849")</f>
        <v xml:space="preserve">   901849</v>
      </c>
      <c r="B5375" t="str">
        <f>T("   Instruments et appareils pour l'art dentaire, n.d.a.")</f>
        <v xml:space="preserve">   Instruments et appareils pour l'art dentaire, n.d.a.</v>
      </c>
      <c r="C5375">
        <v>723179</v>
      </c>
      <c r="D5375">
        <v>121.38</v>
      </c>
    </row>
    <row r="5376" spans="1:4" x14ac:dyDescent="0.25">
      <c r="A5376" t="str">
        <f>T("   901850")</f>
        <v xml:space="preserve">   901850</v>
      </c>
      <c r="B5376" t="str">
        <f>T("   Instruments et appareils d'ophtalmologie, n.d.a.")</f>
        <v xml:space="preserve">   Instruments et appareils d'ophtalmologie, n.d.a.</v>
      </c>
      <c r="C5376">
        <v>220000</v>
      </c>
      <c r="D5376">
        <v>85</v>
      </c>
    </row>
    <row r="5377" spans="1:4" x14ac:dyDescent="0.25">
      <c r="A5377" t="str">
        <f>T("   901890")</f>
        <v xml:space="preserve">   901890</v>
      </c>
      <c r="B5377" t="str">
        <f>T("   Instruments et appareils pour la médecine, la chirurgie ou l'art vétérinaire, n.d.a.")</f>
        <v xml:space="preserve">   Instruments et appareils pour la médecine, la chirurgie ou l'art vétérinaire, n.d.a.</v>
      </c>
      <c r="C5377">
        <v>121107264</v>
      </c>
      <c r="D5377">
        <v>44841.54</v>
      </c>
    </row>
    <row r="5378" spans="1:4" x14ac:dyDescent="0.25">
      <c r="A5378" t="str">
        <f>T("   901910")</f>
        <v xml:space="preserve">   901910</v>
      </c>
      <c r="B5378" t="str">
        <f>T("   Appareils de mécanothérapie, appareils de massage et appareils de psychotechnie")</f>
        <v xml:space="preserve">   Appareils de mécanothérapie, appareils de massage et appareils de psychotechnie</v>
      </c>
      <c r="C5378">
        <v>3106083</v>
      </c>
      <c r="D5378">
        <v>2782</v>
      </c>
    </row>
    <row r="5379" spans="1:4" x14ac:dyDescent="0.25">
      <c r="A5379" t="str">
        <f>T("   901920")</f>
        <v xml:space="preserve">   901920</v>
      </c>
      <c r="B5379"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5379">
        <v>2924829</v>
      </c>
      <c r="D5379">
        <v>328</v>
      </c>
    </row>
    <row r="5380" spans="1:4" x14ac:dyDescent="0.25">
      <c r="A5380" t="str">
        <f>T("   902000")</f>
        <v xml:space="preserve">   902000</v>
      </c>
      <c r="B5380"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5380">
        <v>5116487</v>
      </c>
      <c r="D5380">
        <v>283</v>
      </c>
    </row>
    <row r="5381" spans="1:4" x14ac:dyDescent="0.25">
      <c r="A5381" t="str">
        <f>T("   902110")</f>
        <v xml:space="preserve">   902110</v>
      </c>
      <c r="B5381" t="str">
        <f>T("   Appareils d'orthopédie ou pour fractures")</f>
        <v xml:space="preserve">   Appareils d'orthopédie ou pour fractures</v>
      </c>
      <c r="C5381">
        <v>14948700</v>
      </c>
      <c r="D5381">
        <v>4237</v>
      </c>
    </row>
    <row r="5382" spans="1:4" x14ac:dyDescent="0.25">
      <c r="A5382" t="str">
        <f>T("   902129")</f>
        <v xml:space="preserve">   902129</v>
      </c>
      <c r="B5382" t="str">
        <f>T("   Articles et appareils de prothèse dentaire (sauf dents artificielles)")</f>
        <v xml:space="preserve">   Articles et appareils de prothèse dentaire (sauf dents artificielles)</v>
      </c>
      <c r="C5382">
        <v>7220616</v>
      </c>
      <c r="D5382">
        <v>1101</v>
      </c>
    </row>
    <row r="5383" spans="1:4" x14ac:dyDescent="0.25">
      <c r="A5383" t="str">
        <f>T("   902131")</f>
        <v xml:space="preserve">   902131</v>
      </c>
      <c r="B5383" t="str">
        <f>T("   Prothèses articulaires d'orthopédie")</f>
        <v xml:space="preserve">   Prothèses articulaires d'orthopédie</v>
      </c>
      <c r="C5383">
        <v>272840</v>
      </c>
      <c r="D5383">
        <v>326</v>
      </c>
    </row>
    <row r="5384" spans="1:4" x14ac:dyDescent="0.25">
      <c r="A5384" t="str">
        <f>T("   902139")</f>
        <v xml:space="preserve">   902139</v>
      </c>
      <c r="B5384" t="str">
        <f>T("   Articles et appareils de prothèse (sauf de prothèse dentaire et prothèses articulaires)")</f>
        <v xml:space="preserve">   Articles et appareils de prothèse (sauf de prothèse dentaire et prothèses articulaires)</v>
      </c>
      <c r="C5384">
        <v>378489</v>
      </c>
      <c r="D5384">
        <v>2</v>
      </c>
    </row>
    <row r="5385" spans="1:4" x14ac:dyDescent="0.25">
      <c r="A5385" t="str">
        <f>T("   902140")</f>
        <v xml:space="preserve">   902140</v>
      </c>
      <c r="B5385" t="str">
        <f>T("   Appareils pour faciliter l'audition aux sourds (sauf parties et accessoires)")</f>
        <v xml:space="preserve">   Appareils pour faciliter l'audition aux sourds (sauf parties et accessoires)</v>
      </c>
      <c r="C5385">
        <v>334540</v>
      </c>
      <c r="D5385">
        <v>1</v>
      </c>
    </row>
    <row r="5386" spans="1:4" x14ac:dyDescent="0.25">
      <c r="A5386" t="str">
        <f>T("   902190")</f>
        <v xml:space="preserve">   902190</v>
      </c>
      <c r="B5386" t="s">
        <v>528</v>
      </c>
      <c r="C5386">
        <v>2324722</v>
      </c>
      <c r="D5386">
        <v>71</v>
      </c>
    </row>
    <row r="5387" spans="1:4" x14ac:dyDescent="0.25">
      <c r="A5387" t="str">
        <f>T("   902213")</f>
        <v xml:space="preserve">   902213</v>
      </c>
      <c r="B5387" t="str">
        <f>T("   Appareils à rayons X pour l'art dentaire")</f>
        <v xml:space="preserve">   Appareils à rayons X pour l'art dentaire</v>
      </c>
      <c r="C5387">
        <v>66569</v>
      </c>
      <c r="D5387">
        <v>15.14</v>
      </c>
    </row>
    <row r="5388" spans="1:4" x14ac:dyDescent="0.25">
      <c r="A5388" t="str">
        <f>T("   902214")</f>
        <v xml:space="preserve">   902214</v>
      </c>
      <c r="B5388"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5388">
        <v>17245405</v>
      </c>
      <c r="D5388">
        <v>4719</v>
      </c>
    </row>
    <row r="5389" spans="1:4" x14ac:dyDescent="0.25">
      <c r="A5389" t="str">
        <f>T("   902290")</f>
        <v xml:space="preserve">   902290</v>
      </c>
      <c r="B5389" t="s">
        <v>529</v>
      </c>
      <c r="C5389">
        <v>193731</v>
      </c>
      <c r="D5389">
        <v>114</v>
      </c>
    </row>
    <row r="5390" spans="1:4" x14ac:dyDescent="0.25">
      <c r="A5390" t="str">
        <f>T("   902300")</f>
        <v xml:space="preserve">   902300</v>
      </c>
      <c r="B5390" t="s">
        <v>530</v>
      </c>
      <c r="C5390">
        <v>7646421</v>
      </c>
      <c r="D5390">
        <v>152</v>
      </c>
    </row>
    <row r="5391" spans="1:4" x14ac:dyDescent="0.25">
      <c r="A5391" t="str">
        <f>T("   902480")</f>
        <v xml:space="preserve">   902480</v>
      </c>
      <c r="B5391" t="str">
        <f>T("   Machines et appareils d'essais des propriétés mécaniques des matériaux (autres que les métaux)")</f>
        <v xml:space="preserve">   Machines et appareils d'essais des propriétés mécaniques des matériaux (autres que les métaux)</v>
      </c>
      <c r="C5391">
        <v>15056341</v>
      </c>
      <c r="D5391">
        <v>1235</v>
      </c>
    </row>
    <row r="5392" spans="1:4" x14ac:dyDescent="0.25">
      <c r="A5392" t="str">
        <f>T("   902490")</f>
        <v xml:space="preserve">   902490</v>
      </c>
      <c r="B5392" t="str">
        <f>T("   Parties et accessoires des machines et appareils d'essais des propriétés mécaniques des matériaux, n.d.a.")</f>
        <v xml:space="preserve">   Parties et accessoires des machines et appareils d'essais des propriétés mécaniques des matériaux, n.d.a.</v>
      </c>
      <c r="C5392">
        <v>11176682</v>
      </c>
      <c r="D5392">
        <v>582</v>
      </c>
    </row>
    <row r="5393" spans="1:4" x14ac:dyDescent="0.25">
      <c r="A5393" t="str">
        <f>T("   902511")</f>
        <v xml:space="preserve">   902511</v>
      </c>
      <c r="B5393" t="str">
        <f>T("   THERMOMÈTRES À LIQUIDE, À LECTURE DIRECTE, NON-COMBINÉS À D'AUTRES INSTRUMENTS")</f>
        <v xml:space="preserve">   THERMOMÈTRES À LIQUIDE, À LECTURE DIRECTE, NON-COMBINÉS À D'AUTRES INSTRUMENTS</v>
      </c>
      <c r="C5393">
        <v>5212984</v>
      </c>
      <c r="D5393">
        <v>1170</v>
      </c>
    </row>
    <row r="5394" spans="1:4" x14ac:dyDescent="0.25">
      <c r="A5394" t="str">
        <f>T("   902519")</f>
        <v xml:space="preserve">   902519</v>
      </c>
      <c r="B539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5394">
        <v>22069693</v>
      </c>
      <c r="D5394">
        <v>492.7</v>
      </c>
    </row>
    <row r="5395" spans="1:4" x14ac:dyDescent="0.25">
      <c r="A5395" t="str">
        <f>T("   902580")</f>
        <v xml:space="preserve">   902580</v>
      </c>
      <c r="B5395" t="s">
        <v>531</v>
      </c>
      <c r="C5395">
        <v>2553435</v>
      </c>
      <c r="D5395">
        <v>161</v>
      </c>
    </row>
    <row r="5396" spans="1:4" x14ac:dyDescent="0.25">
      <c r="A5396" t="str">
        <f>T("   902590")</f>
        <v xml:space="preserve">   902590</v>
      </c>
      <c r="B5396"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5396">
        <v>120650</v>
      </c>
      <c r="D5396">
        <v>14</v>
      </c>
    </row>
    <row r="5397" spans="1:4" x14ac:dyDescent="0.25">
      <c r="A5397" t="str">
        <f>T("   902610")</f>
        <v xml:space="preserve">   902610</v>
      </c>
      <c r="B5397"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5397">
        <v>32143324</v>
      </c>
      <c r="D5397">
        <v>995</v>
      </c>
    </row>
    <row r="5398" spans="1:4" x14ac:dyDescent="0.25">
      <c r="A5398" t="str">
        <f>T("   902620")</f>
        <v xml:space="preserve">   902620</v>
      </c>
      <c r="B539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398">
        <v>18125609</v>
      </c>
      <c r="D5398">
        <v>1966.66</v>
      </c>
    </row>
    <row r="5399" spans="1:4" x14ac:dyDescent="0.25">
      <c r="A5399" t="str">
        <f>T("   902680")</f>
        <v xml:space="preserve">   902680</v>
      </c>
      <c r="B5399" t="str">
        <f>T("   Instruments et appareils pour la mesure et le contrôle des caractéristiques variables des liquides ou des gaz, n.d.a.")</f>
        <v xml:space="preserve">   Instruments et appareils pour la mesure et le contrôle des caractéristiques variables des liquides ou des gaz, n.d.a.</v>
      </c>
      <c r="C5399">
        <v>8634218</v>
      </c>
      <c r="D5399">
        <v>445.85</v>
      </c>
    </row>
    <row r="5400" spans="1:4" x14ac:dyDescent="0.25">
      <c r="A5400" t="str">
        <f>T("   902690")</f>
        <v xml:space="preserve">   902690</v>
      </c>
      <c r="B5400"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5400">
        <v>2343151</v>
      </c>
      <c r="D5400">
        <v>43.12</v>
      </c>
    </row>
    <row r="5401" spans="1:4" x14ac:dyDescent="0.25">
      <c r="A5401" t="str">
        <f>T("   902710")</f>
        <v xml:space="preserve">   902710</v>
      </c>
      <c r="B5401" t="str">
        <f>T("   Analyseurs de gaz ou de fumées")</f>
        <v xml:space="preserve">   Analyseurs de gaz ou de fumées</v>
      </c>
      <c r="C5401">
        <v>33919327</v>
      </c>
      <c r="D5401">
        <v>222</v>
      </c>
    </row>
    <row r="5402" spans="1:4" x14ac:dyDescent="0.25">
      <c r="A5402" t="str">
        <f>T("   902720")</f>
        <v xml:space="preserve">   902720</v>
      </c>
      <c r="B5402" t="str">
        <f>T("   Chromatographes et appareils d'électrophorèse")</f>
        <v xml:space="preserve">   Chromatographes et appareils d'électrophorèse</v>
      </c>
      <c r="C5402">
        <v>25128636</v>
      </c>
      <c r="D5402">
        <v>345</v>
      </c>
    </row>
    <row r="5403" spans="1:4" x14ac:dyDescent="0.25">
      <c r="A5403" t="str">
        <f>T("   902730")</f>
        <v xml:space="preserve">   902730</v>
      </c>
      <c r="B5403" t="str">
        <f>T("   Spectromètres, spectrophotomètres et spectrographes utilisant les rayonnements optiques: UV, visibles, IR")</f>
        <v xml:space="preserve">   Spectromètres, spectrophotomètres et spectrographes utilisant les rayonnements optiques: UV, visibles, IR</v>
      </c>
      <c r="C5403">
        <v>3664848</v>
      </c>
      <c r="D5403">
        <v>37.1</v>
      </c>
    </row>
    <row r="5404" spans="1:4" x14ac:dyDescent="0.25">
      <c r="A5404" t="str">
        <f>T("   902750")</f>
        <v xml:space="preserve">   902750</v>
      </c>
      <c r="B5404"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5404">
        <v>592304</v>
      </c>
      <c r="D5404">
        <v>325</v>
      </c>
    </row>
    <row r="5405" spans="1:4" x14ac:dyDescent="0.25">
      <c r="A5405" t="str">
        <f>T("   902780")</f>
        <v xml:space="preserve">   902780</v>
      </c>
      <c r="B5405"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5405">
        <v>25921174</v>
      </c>
      <c r="D5405">
        <v>183</v>
      </c>
    </row>
    <row r="5406" spans="1:4" x14ac:dyDescent="0.25">
      <c r="A5406" t="str">
        <f>T("   902790")</f>
        <v xml:space="preserve">   902790</v>
      </c>
      <c r="B5406" t="s">
        <v>532</v>
      </c>
      <c r="C5406">
        <v>16646142</v>
      </c>
      <c r="D5406">
        <v>55.75</v>
      </c>
    </row>
    <row r="5407" spans="1:4" x14ac:dyDescent="0.25">
      <c r="A5407" t="str">
        <f>T("   902820")</f>
        <v xml:space="preserve">   902820</v>
      </c>
      <c r="B5407" t="str">
        <f>T("   Compteurs de liquides, y.c. les compteurs pour leur étalonnage")</f>
        <v xml:space="preserve">   Compteurs de liquides, y.c. les compteurs pour leur étalonnage</v>
      </c>
      <c r="C5407">
        <v>5128356</v>
      </c>
      <c r="D5407">
        <v>510.1</v>
      </c>
    </row>
    <row r="5408" spans="1:4" x14ac:dyDescent="0.25">
      <c r="A5408" t="str">
        <f>T("   902830")</f>
        <v xml:space="preserve">   902830</v>
      </c>
      <c r="B5408" t="str">
        <f>T("   Compteurs d'électricité, y.c. les compteurs pour leur étalonnage")</f>
        <v xml:space="preserve">   Compteurs d'électricité, y.c. les compteurs pour leur étalonnage</v>
      </c>
      <c r="C5408">
        <v>2621130</v>
      </c>
      <c r="D5408">
        <v>66</v>
      </c>
    </row>
    <row r="5409" spans="1:4" x14ac:dyDescent="0.25">
      <c r="A5409" t="str">
        <f>T("   902910")</f>
        <v xml:space="preserve">   902910</v>
      </c>
      <c r="B5409"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5409">
        <v>774654</v>
      </c>
      <c r="D5409">
        <v>5</v>
      </c>
    </row>
    <row r="5410" spans="1:4" x14ac:dyDescent="0.25">
      <c r="A5410" t="str">
        <f>T("   902920")</f>
        <v xml:space="preserve">   902920</v>
      </c>
      <c r="B5410" t="str">
        <f>T("   Indicateurs de vitesse et tachymètres; stroboscopes")</f>
        <v xml:space="preserve">   Indicateurs de vitesse et tachymètres; stroboscopes</v>
      </c>
      <c r="C5410">
        <v>491410</v>
      </c>
      <c r="D5410">
        <v>5</v>
      </c>
    </row>
    <row r="5411" spans="1:4" x14ac:dyDescent="0.25">
      <c r="A5411" t="str">
        <f>T("   903010")</f>
        <v xml:space="preserve">   903010</v>
      </c>
      <c r="B5411" t="str">
        <f>T("   Instruments et appareils pour la mesure ou la détection des radiations ionisantes")</f>
        <v xml:space="preserve">   Instruments et appareils pour la mesure ou la détection des radiations ionisantes</v>
      </c>
      <c r="C5411">
        <v>434151</v>
      </c>
      <c r="D5411">
        <v>8</v>
      </c>
    </row>
    <row r="5412" spans="1:4" x14ac:dyDescent="0.25">
      <c r="A5412" t="str">
        <f>T("   903020")</f>
        <v xml:space="preserve">   903020</v>
      </c>
      <c r="B5412" t="str">
        <f>T("   OSCILLOSCOPES ET OSCILLOGRAPHES")</f>
        <v xml:space="preserve">   OSCILLOSCOPES ET OSCILLOGRAPHES</v>
      </c>
      <c r="C5412">
        <v>1097948</v>
      </c>
      <c r="D5412">
        <v>3</v>
      </c>
    </row>
    <row r="5413" spans="1:4" x14ac:dyDescent="0.25">
      <c r="A5413" t="str">
        <f>T("   903031")</f>
        <v xml:space="preserve">   903031</v>
      </c>
      <c r="B5413"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5413">
        <v>5450883</v>
      </c>
      <c r="D5413">
        <v>177</v>
      </c>
    </row>
    <row r="5414" spans="1:4" x14ac:dyDescent="0.25">
      <c r="A5414" t="str">
        <f>T("   903039")</f>
        <v xml:space="preserve">   903039</v>
      </c>
      <c r="B5414"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5414">
        <v>10807183</v>
      </c>
      <c r="D5414">
        <v>82</v>
      </c>
    </row>
    <row r="5415" spans="1:4" x14ac:dyDescent="0.25">
      <c r="A5415" t="str">
        <f>T("   903084")</f>
        <v xml:space="preserve">   903084</v>
      </c>
      <c r="B5415" t="s">
        <v>533</v>
      </c>
      <c r="C5415">
        <v>4635013</v>
      </c>
      <c r="D5415">
        <v>5000</v>
      </c>
    </row>
    <row r="5416" spans="1:4" x14ac:dyDescent="0.25">
      <c r="A5416" t="str">
        <f>T("   903089")</f>
        <v xml:space="preserve">   903089</v>
      </c>
      <c r="B5416" t="str">
        <f>T("   Instruments et appareils pour la mesure ou le contrôle de grandeurs électriques, sans dispositif enregistreur, n.d.a.")</f>
        <v xml:space="preserve">   Instruments et appareils pour la mesure ou le contrôle de grandeurs électriques, sans dispositif enregistreur, n.d.a.</v>
      </c>
      <c r="C5416">
        <v>5020086</v>
      </c>
      <c r="D5416">
        <v>35</v>
      </c>
    </row>
    <row r="5417" spans="1:4" x14ac:dyDescent="0.25">
      <c r="A5417" t="str">
        <f>T("   903090")</f>
        <v xml:space="preserve">   903090</v>
      </c>
      <c r="B5417" t="str">
        <f>T("   Parties et accessoires des instruments et appareils pour la mesure ou le contrôle de grandeurs électriques ou pour la mesure ou la détection des radiations ionisantes, n.d.a.")</f>
        <v xml:space="preserve">   Parties et accessoires des instruments et appareils pour la mesure ou le contrôle de grandeurs électriques ou pour la mesure ou la détection des radiations ionisantes, n.d.a.</v>
      </c>
      <c r="C5417">
        <v>37029</v>
      </c>
      <c r="D5417">
        <v>2</v>
      </c>
    </row>
    <row r="5418" spans="1:4" x14ac:dyDescent="0.25">
      <c r="A5418" t="str">
        <f>T("   903120")</f>
        <v xml:space="preserve">   903120</v>
      </c>
      <c r="B5418" t="str">
        <f>T("   Bancs d'essai pour moteurs, machines génératrices, pompes, etc.")</f>
        <v xml:space="preserve">   Bancs d'essai pour moteurs, machines génératrices, pompes, etc.</v>
      </c>
      <c r="C5418">
        <v>373897</v>
      </c>
      <c r="D5418">
        <v>4</v>
      </c>
    </row>
    <row r="5419" spans="1:4" x14ac:dyDescent="0.25">
      <c r="A5419" t="str">
        <f>T("   903180")</f>
        <v xml:space="preserve">   903180</v>
      </c>
      <c r="B5419" t="str">
        <f>T("   INSTRUMENTS, APPAREILS ET MACHINES DE MESURE OU DE CONTRÔLE, NON-OPTIQUES, N.D.A. DANS LE PRÉSENT CHAPITRE")</f>
        <v xml:space="preserve">   INSTRUMENTS, APPAREILS ET MACHINES DE MESURE OU DE CONTRÔLE, NON-OPTIQUES, N.D.A. DANS LE PRÉSENT CHAPITRE</v>
      </c>
      <c r="C5419">
        <v>15729698</v>
      </c>
      <c r="D5419">
        <v>509</v>
      </c>
    </row>
    <row r="5420" spans="1:4" x14ac:dyDescent="0.25">
      <c r="A5420" t="str">
        <f>T("   903190")</f>
        <v xml:space="preserve">   903190</v>
      </c>
      <c r="B5420" t="str">
        <f>T("   Parties et accessoires des instruments, appareils et machines de mesure ou de contrôle, n.d.a.")</f>
        <v xml:space="preserve">   Parties et accessoires des instruments, appareils et machines de mesure ou de contrôle, n.d.a.</v>
      </c>
      <c r="C5420">
        <v>11747483</v>
      </c>
      <c r="D5420">
        <v>441</v>
      </c>
    </row>
    <row r="5421" spans="1:4" x14ac:dyDescent="0.25">
      <c r="A5421" t="str">
        <f>T("   903210")</f>
        <v xml:space="preserve">   903210</v>
      </c>
      <c r="B5421" t="str">
        <f>T("   Thermostats pour la régulation ou le contrôle automatiques")</f>
        <v xml:space="preserve">   Thermostats pour la régulation ou le contrôle automatiques</v>
      </c>
      <c r="C5421">
        <v>976844</v>
      </c>
      <c r="D5421">
        <v>164.5</v>
      </c>
    </row>
    <row r="5422" spans="1:4" x14ac:dyDescent="0.25">
      <c r="A5422" t="str">
        <f>T("   903220")</f>
        <v xml:space="preserve">   903220</v>
      </c>
      <c r="B5422" t="str">
        <f>T("   Manostats [pressostats] (sauf les articles de robinetterie du n° 8481)")</f>
        <v xml:space="preserve">   Manostats [pressostats] (sauf les articles de robinetterie du n° 8481)</v>
      </c>
      <c r="C5422">
        <v>74816</v>
      </c>
      <c r="D5422">
        <v>4</v>
      </c>
    </row>
    <row r="5423" spans="1:4" x14ac:dyDescent="0.25">
      <c r="A5423" t="str">
        <f>T("   903289")</f>
        <v xml:space="preserve">   903289</v>
      </c>
      <c r="B5423" t="s">
        <v>534</v>
      </c>
      <c r="C5423">
        <v>9537414</v>
      </c>
      <c r="D5423">
        <v>317</v>
      </c>
    </row>
    <row r="5424" spans="1:4" x14ac:dyDescent="0.25">
      <c r="A5424" t="str">
        <f>T("   903290")</f>
        <v xml:space="preserve">   903290</v>
      </c>
      <c r="B5424" t="str">
        <f>T("   Parties et accessoires des instruments et appareils pour la régulation ou le contrôle automatiques, n.d.a.")</f>
        <v xml:space="preserve">   Parties et accessoires des instruments et appareils pour la régulation ou le contrôle automatiques, n.d.a.</v>
      </c>
      <c r="C5424">
        <v>1462646</v>
      </c>
      <c r="D5424">
        <v>7</v>
      </c>
    </row>
    <row r="5425" spans="1:4" x14ac:dyDescent="0.25">
      <c r="A5425" t="str">
        <f>T("   903300")</f>
        <v xml:space="preserve">   903300</v>
      </c>
      <c r="B5425"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5425">
        <v>628144</v>
      </c>
      <c r="D5425">
        <v>9</v>
      </c>
    </row>
    <row r="5426" spans="1:4" x14ac:dyDescent="0.25">
      <c r="A5426" t="str">
        <f>T("   910211")</f>
        <v xml:space="preserve">   910211</v>
      </c>
      <c r="B5426" t="str">
        <f>T("   Montres-bracelets, même incorporant un compteur de temps, fonctionnant électriquement, à affichage mécanique seulement (autres que celles en métaux précieux ou en plaqués ou doublés de métaux précieux)")</f>
        <v xml:space="preserve">   Montres-bracelets, même incorporant un compteur de temps, fonctionnant électriquement, à affichage mécanique seulement (autres que celles en métaux précieux ou en plaqués ou doublés de métaux précieux)</v>
      </c>
      <c r="C5426">
        <v>13119</v>
      </c>
      <c r="D5426">
        <v>8</v>
      </c>
    </row>
    <row r="5427" spans="1:4" x14ac:dyDescent="0.25">
      <c r="A5427" t="str">
        <f>T("   910219")</f>
        <v xml:space="preserve">   910219</v>
      </c>
      <c r="B5427"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5427">
        <v>30000</v>
      </c>
      <c r="D5427">
        <v>4.7</v>
      </c>
    </row>
    <row r="5428" spans="1:4" x14ac:dyDescent="0.25">
      <c r="A5428" t="str">
        <f>T("   910221")</f>
        <v xml:space="preserve">   910221</v>
      </c>
      <c r="B5428" t="str">
        <f>T("   Montres-bracelets, même incorporant un compteur de temps, à remontage automatique (autres que celles en métaux précieux ou en plaqués ou doublés de métaux précieux)")</f>
        <v xml:space="preserve">   Montres-bracelets, même incorporant un compteur de temps, à remontage automatique (autres que celles en métaux précieux ou en plaqués ou doublés de métaux précieux)</v>
      </c>
      <c r="C5428">
        <v>3280</v>
      </c>
      <c r="D5428">
        <v>2</v>
      </c>
    </row>
    <row r="5429" spans="1:4" x14ac:dyDescent="0.25">
      <c r="A5429" t="str">
        <f>T("   910229")</f>
        <v xml:space="preserve">   910229</v>
      </c>
      <c r="B5429"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5429">
        <v>8489442</v>
      </c>
      <c r="D5429">
        <v>2667</v>
      </c>
    </row>
    <row r="5430" spans="1:4" x14ac:dyDescent="0.25">
      <c r="A5430" t="str">
        <f>T("   910291")</f>
        <v xml:space="preserve">   910291</v>
      </c>
      <c r="B5430" t="str">
        <f>T("   Montres de poche et montres simil., fonctionnant électriquement, y.c. les compteurs de temps du même type (autres que celles en métaux précieux ou en plaqués ou doublés de métaux précieux)")</f>
        <v xml:space="preserve">   Montres de poche et montres simil., fonctionnant électriquement, y.c. les compteurs de temps du même type (autres que celles en métaux précieux ou en plaqués ou doublés de métaux précieux)</v>
      </c>
      <c r="C5430">
        <v>641529</v>
      </c>
      <c r="D5430">
        <v>16</v>
      </c>
    </row>
    <row r="5431" spans="1:4" x14ac:dyDescent="0.25">
      <c r="A5431" t="str">
        <f>T("   910299")</f>
        <v xml:space="preserve">   910299</v>
      </c>
      <c r="B5431" t="str">
        <f>T("   Montres de poche et montres simil., à remontage manuel ou automatique, y.c. les compteurs de temps du même type (autres que celles en métaux précieux ou en plaqués ou doublés de métaux précieux)")</f>
        <v xml:space="preserve">   Montres de poche et montres simil., à remontage manuel ou automatique, y.c. les compteurs de temps du même type (autres que celles en métaux précieux ou en plaqués ou doublés de métaux précieux)</v>
      </c>
      <c r="C5431">
        <v>1961076</v>
      </c>
      <c r="D5431">
        <v>676</v>
      </c>
    </row>
    <row r="5432" spans="1:4" x14ac:dyDescent="0.25">
      <c r="A5432" t="str">
        <f>T("   910390")</f>
        <v xml:space="preserve">   910390</v>
      </c>
      <c r="B5432"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5432">
        <v>3936</v>
      </c>
      <c r="D5432">
        <v>13</v>
      </c>
    </row>
    <row r="5433" spans="1:4" x14ac:dyDescent="0.25">
      <c r="A5433" t="str">
        <f>T("   910521")</f>
        <v xml:space="preserve">   910521</v>
      </c>
      <c r="B5433"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5433">
        <v>4067693</v>
      </c>
      <c r="D5433">
        <v>4164</v>
      </c>
    </row>
    <row r="5434" spans="1:4" x14ac:dyDescent="0.25">
      <c r="A5434" t="str">
        <f>T("   910529")</f>
        <v xml:space="preserve">   910529</v>
      </c>
      <c r="B5434" t="str">
        <f>T("   Pendules et horloges murales ne fonctionnant pas électriquement")</f>
        <v xml:space="preserve">   Pendules et horloges murales ne fonctionnant pas électriquement</v>
      </c>
      <c r="C5434">
        <v>5248</v>
      </c>
      <c r="D5434">
        <v>20</v>
      </c>
    </row>
    <row r="5435" spans="1:4" x14ac:dyDescent="0.25">
      <c r="A5435" t="str">
        <f>T("   910599")</f>
        <v xml:space="preserve">   910599</v>
      </c>
      <c r="B5435" t="s">
        <v>535</v>
      </c>
      <c r="C5435">
        <v>398824</v>
      </c>
      <c r="D5435">
        <v>16</v>
      </c>
    </row>
    <row r="5436" spans="1:4" x14ac:dyDescent="0.25">
      <c r="A5436" t="str">
        <f>T("   910610")</f>
        <v xml:space="preserve">   910610</v>
      </c>
      <c r="B5436" t="str">
        <f>T("   HORLOGES DE POINTAGE; HORODATEURS ET HOROCOMPTEURS [01/01/1988-31/12/1994: HORLOGES DE POINTAGE; HORODATEURS ET HOROCOMPTEURS]")</f>
        <v xml:space="preserve">   HORLOGES DE POINTAGE; HORODATEURS ET HOROCOMPTEURS [01/01/1988-31/12/1994: HORLOGES DE POINTAGE; HORODATEURS ET HOROCOMPTEURS]</v>
      </c>
      <c r="C5436">
        <v>474854</v>
      </c>
      <c r="D5436">
        <v>14</v>
      </c>
    </row>
    <row r="5437" spans="1:4" x14ac:dyDescent="0.25">
      <c r="A5437" t="str">
        <f>T("   910690")</f>
        <v xml:space="preserve">   910690</v>
      </c>
      <c r="B5437"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5437">
        <v>307496</v>
      </c>
      <c r="D5437">
        <v>10</v>
      </c>
    </row>
    <row r="5438" spans="1:4" x14ac:dyDescent="0.25">
      <c r="A5438" t="str">
        <f>T("   910700")</f>
        <v xml:space="preserve">   910700</v>
      </c>
      <c r="B5438" t="str">
        <f>T("   Interrupteurs horaires et autres appareils permettant de déclencher un mécanisme à temps donné, munis d'un mouvement d'horlogerie ou d'un moteur synchrone")</f>
        <v xml:space="preserve">   Interrupteurs horaires et autres appareils permettant de déclencher un mécanisme à temps donné, munis d'un mouvement d'horlogerie ou d'un moteur synchrone</v>
      </c>
      <c r="C5438">
        <v>124632</v>
      </c>
      <c r="D5438">
        <v>25</v>
      </c>
    </row>
    <row r="5439" spans="1:4" x14ac:dyDescent="0.25">
      <c r="A5439" t="str">
        <f>T("   911220")</f>
        <v xml:space="preserve">   911220</v>
      </c>
      <c r="B5439" t="str">
        <f>T("   Cages et cabinets d'appareils d'horlogerie (autres que de mouvements de montres-bracelets, de montres de poche et de montres simil. du n° 9101 ou 9102)")</f>
        <v xml:space="preserve">   Cages et cabinets d'appareils d'horlogerie (autres que de mouvements de montres-bracelets, de montres de poche et de montres simil. du n° 9101 ou 9102)</v>
      </c>
      <c r="C5439">
        <v>50000</v>
      </c>
      <c r="D5439">
        <v>170</v>
      </c>
    </row>
    <row r="5440" spans="1:4" x14ac:dyDescent="0.25">
      <c r="A5440" t="str">
        <f>T("   920790")</f>
        <v xml:space="preserve">   920790</v>
      </c>
      <c r="B5440" t="str">
        <f>T("   Accordéons électriques et autres instruments de musique électriques")</f>
        <v xml:space="preserve">   Accordéons électriques et autres instruments de musique électriques</v>
      </c>
      <c r="C5440">
        <v>37390</v>
      </c>
      <c r="D5440">
        <v>11</v>
      </c>
    </row>
    <row r="5441" spans="1:4" x14ac:dyDescent="0.25">
      <c r="A5441" t="str">
        <f>T("   940120")</f>
        <v xml:space="preserve">   940120</v>
      </c>
      <c r="B5441" t="str">
        <f>T("   Sièges pour véhicules automobiles")</f>
        <v xml:space="preserve">   Sièges pour véhicules automobiles</v>
      </c>
      <c r="C5441">
        <v>2329590</v>
      </c>
      <c r="D5441">
        <v>81</v>
      </c>
    </row>
    <row r="5442" spans="1:4" x14ac:dyDescent="0.25">
      <c r="A5442" t="str">
        <f>T("   940140")</f>
        <v xml:space="preserve">   940140</v>
      </c>
      <c r="B5442" t="str">
        <f>T("   Sièges autres que le matériel de camping ou de jardin, transformables en lits (à l'excl. de ceux pour la médecine, l'art dentaire ou la chirurgie)")</f>
        <v xml:space="preserve">   Sièges autres que le matériel de camping ou de jardin, transformables en lits (à l'excl. de ceux pour la médecine, l'art dentaire ou la chirurgie)</v>
      </c>
      <c r="C5442">
        <v>3604408</v>
      </c>
      <c r="D5442">
        <v>2000</v>
      </c>
    </row>
    <row r="5443" spans="1:4" x14ac:dyDescent="0.25">
      <c r="A5443" t="str">
        <f>T("   940161")</f>
        <v xml:space="preserve">   940161</v>
      </c>
      <c r="B5443" t="str">
        <f>T("   Sièges, avec bâti en bois, rembourrés (non transformables en lits)")</f>
        <v xml:space="preserve">   Sièges, avec bâti en bois, rembourrés (non transformables en lits)</v>
      </c>
      <c r="C5443">
        <v>1512697</v>
      </c>
      <c r="D5443">
        <v>200</v>
      </c>
    </row>
    <row r="5444" spans="1:4" x14ac:dyDescent="0.25">
      <c r="A5444" t="str">
        <f>T("   940169")</f>
        <v xml:space="preserve">   940169</v>
      </c>
      <c r="B5444" t="str">
        <f>T("   Sièges, avec bâti en bois, non rembourrés")</f>
        <v xml:space="preserve">   Sièges, avec bâti en bois, non rembourrés</v>
      </c>
      <c r="C5444">
        <v>3931267</v>
      </c>
      <c r="D5444">
        <v>466</v>
      </c>
    </row>
    <row r="5445" spans="1:4" x14ac:dyDescent="0.25">
      <c r="A5445" t="str">
        <f>T("   940179")</f>
        <v xml:space="preserve">   940179</v>
      </c>
      <c r="B5445"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5445">
        <v>55129204</v>
      </c>
      <c r="D5445">
        <v>10356</v>
      </c>
    </row>
    <row r="5446" spans="1:4" x14ac:dyDescent="0.25">
      <c r="A5446" t="str">
        <f>T("   940180")</f>
        <v xml:space="preserve">   940180</v>
      </c>
      <c r="B5446" t="str">
        <f>T("   Sièges, n.d.a.")</f>
        <v xml:space="preserve">   Sièges, n.d.a.</v>
      </c>
      <c r="C5446">
        <v>22427929</v>
      </c>
      <c r="D5446">
        <v>3070</v>
      </c>
    </row>
    <row r="5447" spans="1:4" x14ac:dyDescent="0.25">
      <c r="A5447" t="str">
        <f>T("   940190")</f>
        <v xml:space="preserve">   940190</v>
      </c>
      <c r="B5447" t="str">
        <f>T("   Parties de sièges, n.d.a.")</f>
        <v xml:space="preserve">   Parties de sièges, n.d.a.</v>
      </c>
      <c r="C5447">
        <v>162842</v>
      </c>
      <c r="D5447">
        <v>13</v>
      </c>
    </row>
    <row r="5448" spans="1:4" x14ac:dyDescent="0.25">
      <c r="A5448" t="str">
        <f>T("   940210")</f>
        <v xml:space="preserve">   940210</v>
      </c>
      <c r="B5448"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5448">
        <v>2291531</v>
      </c>
      <c r="D5448">
        <v>3008.9</v>
      </c>
    </row>
    <row r="5449" spans="1:4" x14ac:dyDescent="0.25">
      <c r="A5449" t="str">
        <f>T("   940290")</f>
        <v xml:space="preserve">   940290</v>
      </c>
      <c r="B5449"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5449">
        <v>6868578</v>
      </c>
      <c r="D5449">
        <v>20359</v>
      </c>
    </row>
    <row r="5450" spans="1:4" x14ac:dyDescent="0.25">
      <c r="A5450" t="str">
        <f>T("   940310")</f>
        <v xml:space="preserve">   940310</v>
      </c>
      <c r="B5450" t="str">
        <f>T("   Meubles de bureau en métal (sauf sièges)")</f>
        <v xml:space="preserve">   Meubles de bureau en métal (sauf sièges)</v>
      </c>
      <c r="C5450">
        <v>27042102</v>
      </c>
      <c r="D5450">
        <v>4689</v>
      </c>
    </row>
    <row r="5451" spans="1:4" x14ac:dyDescent="0.25">
      <c r="A5451" t="str">
        <f>T("   940320")</f>
        <v xml:space="preserve">   940320</v>
      </c>
      <c r="B5451"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451">
        <v>12514554</v>
      </c>
      <c r="D5451">
        <v>21224</v>
      </c>
    </row>
    <row r="5452" spans="1:4" x14ac:dyDescent="0.25">
      <c r="A5452" t="str">
        <f>T("   940330")</f>
        <v xml:space="preserve">   940330</v>
      </c>
      <c r="B5452" t="str">
        <f>T("   Meubles de bureau en bois (sauf sièges)")</f>
        <v xml:space="preserve">   Meubles de bureau en bois (sauf sièges)</v>
      </c>
      <c r="C5452">
        <v>200000</v>
      </c>
      <c r="D5452">
        <v>100</v>
      </c>
    </row>
    <row r="5453" spans="1:4" x14ac:dyDescent="0.25">
      <c r="A5453" t="str">
        <f>T("   940340")</f>
        <v xml:space="preserve">   940340</v>
      </c>
      <c r="B5453" t="str">
        <f>T("   Meubles de cuisine, en bois (sauf sièges)")</f>
        <v xml:space="preserve">   Meubles de cuisine, en bois (sauf sièges)</v>
      </c>
      <c r="C5453">
        <v>930152</v>
      </c>
      <c r="D5453">
        <v>479</v>
      </c>
    </row>
    <row r="5454" spans="1:4" x14ac:dyDescent="0.25">
      <c r="A5454" t="str">
        <f>T("   940350")</f>
        <v xml:space="preserve">   940350</v>
      </c>
      <c r="B5454" t="str">
        <f>T("   Meubles pour chambres à coucher, en bois (sauf sièges)")</f>
        <v xml:space="preserve">   Meubles pour chambres à coucher, en bois (sauf sièges)</v>
      </c>
      <c r="C5454">
        <v>35668291</v>
      </c>
      <c r="D5454">
        <v>45200</v>
      </c>
    </row>
    <row r="5455" spans="1:4" x14ac:dyDescent="0.25">
      <c r="A5455" t="str">
        <f>T("   940360")</f>
        <v xml:space="preserve">   940360</v>
      </c>
      <c r="B5455" t="str">
        <f>T("   Meubles en bois (autres que pour bureaux, cuisines ou chambres à coucher et autres que sièges)")</f>
        <v xml:space="preserve">   Meubles en bois (autres que pour bureaux, cuisines ou chambres à coucher et autres que sièges)</v>
      </c>
      <c r="C5455">
        <v>164361580</v>
      </c>
      <c r="D5455">
        <v>247955</v>
      </c>
    </row>
    <row r="5456" spans="1:4" x14ac:dyDescent="0.25">
      <c r="A5456" t="str">
        <f>T("   940370")</f>
        <v xml:space="preserve">   940370</v>
      </c>
      <c r="B545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456">
        <v>6512372</v>
      </c>
      <c r="D5456">
        <v>3741</v>
      </c>
    </row>
    <row r="5457" spans="1:4" x14ac:dyDescent="0.25">
      <c r="A5457" t="str">
        <f>T("   940380")</f>
        <v xml:space="preserve">   940380</v>
      </c>
      <c r="B5457" t="str">
        <f>T("   Meubles en rotin, osier, bambou ou autres matières (sauf métal, bois et matières plastiques)")</f>
        <v xml:space="preserve">   Meubles en rotin, osier, bambou ou autres matières (sauf métal, bois et matières plastiques)</v>
      </c>
      <c r="C5457">
        <v>29801884</v>
      </c>
      <c r="D5457">
        <v>40230</v>
      </c>
    </row>
    <row r="5458" spans="1:4" x14ac:dyDescent="0.25">
      <c r="A5458" t="str">
        <f>T("   940381")</f>
        <v xml:space="preserve">   940381</v>
      </c>
      <c r="B5458"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5458">
        <v>5758890</v>
      </c>
      <c r="D5458">
        <v>19703</v>
      </c>
    </row>
    <row r="5459" spans="1:4" x14ac:dyDescent="0.25">
      <c r="A5459" t="str">
        <f>T("   940389")</f>
        <v xml:space="preserve">   940389</v>
      </c>
      <c r="B545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5459">
        <v>34260376</v>
      </c>
      <c r="D5459">
        <v>62116</v>
      </c>
    </row>
    <row r="5460" spans="1:4" x14ac:dyDescent="0.25">
      <c r="A5460" t="str">
        <f>T("   940390")</f>
        <v xml:space="preserve">   940390</v>
      </c>
      <c r="B5460"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5460">
        <v>1268704</v>
      </c>
      <c r="D5460">
        <v>1471</v>
      </c>
    </row>
    <row r="5461" spans="1:4" x14ac:dyDescent="0.25">
      <c r="A5461" t="str">
        <f>T("   940410")</f>
        <v xml:space="preserve">   940410</v>
      </c>
      <c r="B5461" t="str">
        <f>T("   Sommiers (sauf ressorts pour sièges)")</f>
        <v xml:space="preserve">   Sommiers (sauf ressorts pour sièges)</v>
      </c>
      <c r="C5461">
        <v>14555254</v>
      </c>
      <c r="D5461">
        <v>3922</v>
      </c>
    </row>
    <row r="5462" spans="1:4" x14ac:dyDescent="0.25">
      <c r="A5462" t="str">
        <f>T("   940421")</f>
        <v xml:space="preserve">   940421</v>
      </c>
      <c r="B5462" t="str">
        <f>T("   Matelas en caoutchouc alvéolaire ou en matières plastiques alvéolaires")</f>
        <v xml:space="preserve">   Matelas en caoutchouc alvéolaire ou en matières plastiques alvéolaires</v>
      </c>
      <c r="C5462">
        <v>3037291</v>
      </c>
      <c r="D5462">
        <v>1759</v>
      </c>
    </row>
    <row r="5463" spans="1:4" x14ac:dyDescent="0.25">
      <c r="A5463" t="str">
        <f>T("   940429")</f>
        <v xml:space="preserve">   940429</v>
      </c>
      <c r="B5463"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463">
        <v>27251617</v>
      </c>
      <c r="D5463">
        <v>16235</v>
      </c>
    </row>
    <row r="5464" spans="1:4" x14ac:dyDescent="0.25">
      <c r="A5464" t="str">
        <f>T("   940490")</f>
        <v xml:space="preserve">   940490</v>
      </c>
      <c r="B5464" t="s">
        <v>537</v>
      </c>
      <c r="C5464">
        <v>37162896</v>
      </c>
      <c r="D5464">
        <v>39805</v>
      </c>
    </row>
    <row r="5465" spans="1:4" x14ac:dyDescent="0.25">
      <c r="A5465" t="str">
        <f>T("   940510")</f>
        <v xml:space="preserve">   940510</v>
      </c>
      <c r="B5465"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5465">
        <v>17455705</v>
      </c>
      <c r="D5465">
        <v>2069.7600000000002</v>
      </c>
    </row>
    <row r="5466" spans="1:4" x14ac:dyDescent="0.25">
      <c r="A5466" t="str">
        <f>T("   940520")</f>
        <v xml:space="preserve">   940520</v>
      </c>
      <c r="B5466" t="str">
        <f>T("   Lampes de chevet, lampes de bureau et lampadaires d'intérieur, électriques")</f>
        <v xml:space="preserve">   Lampes de chevet, lampes de bureau et lampadaires d'intérieur, électriques</v>
      </c>
      <c r="C5466">
        <v>16003242</v>
      </c>
      <c r="D5466">
        <v>979</v>
      </c>
    </row>
    <row r="5467" spans="1:4" x14ac:dyDescent="0.25">
      <c r="A5467" t="str">
        <f>T("   940530")</f>
        <v xml:space="preserve">   940530</v>
      </c>
      <c r="B5467" t="str">
        <f>T("   GUIRLANDES ÉLECTRIQUES POUR ARBRES DE NOÙL")</f>
        <v xml:space="preserve">   GUIRLANDES ÉLECTRIQUES POUR ARBRES DE NOÙL</v>
      </c>
      <c r="C5467">
        <v>7586452</v>
      </c>
      <c r="D5467">
        <v>6653</v>
      </c>
    </row>
    <row r="5468" spans="1:4" x14ac:dyDescent="0.25">
      <c r="A5468" t="str">
        <f>T("   940540")</f>
        <v xml:space="preserve">   940540</v>
      </c>
      <c r="B5468" t="str">
        <f>T("   Appareils d'éclairage électrique, n.d.a.")</f>
        <v xml:space="preserve">   Appareils d'éclairage électrique, n.d.a.</v>
      </c>
      <c r="C5468">
        <v>17894051</v>
      </c>
      <c r="D5468">
        <v>4625</v>
      </c>
    </row>
    <row r="5469" spans="1:4" x14ac:dyDescent="0.25">
      <c r="A5469" t="str">
        <f>T("   940560")</f>
        <v xml:space="preserve">   940560</v>
      </c>
      <c r="B5469"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469">
        <v>49213464</v>
      </c>
      <c r="D5469">
        <v>4511</v>
      </c>
    </row>
    <row r="5470" spans="1:4" x14ac:dyDescent="0.25">
      <c r="A5470" t="str">
        <f>T("   940599")</f>
        <v xml:space="preserve">   940599</v>
      </c>
      <c r="B5470" t="str">
        <f>T("   Parties d'appareils d'éclairage, de lampes-réclames, d'enseignes lumineuses, de plaques indicatrices lumineuses, et simil., n.d.a.")</f>
        <v xml:space="preserve">   Parties d'appareils d'éclairage, de lampes-réclames, d'enseignes lumineuses, de plaques indicatrices lumineuses, et simil., n.d.a.</v>
      </c>
      <c r="C5470">
        <v>407251</v>
      </c>
      <c r="D5470">
        <v>19</v>
      </c>
    </row>
    <row r="5471" spans="1:4" x14ac:dyDescent="0.25">
      <c r="A5471" t="str">
        <f>T("   940600")</f>
        <v xml:space="preserve">   940600</v>
      </c>
      <c r="B5471" t="str">
        <f>T("   Constructions préfabriquées, même incomplètes ou non encore montées")</f>
        <v xml:space="preserve">   Constructions préfabriquées, même incomplètes ou non encore montées</v>
      </c>
      <c r="C5471">
        <v>37825570</v>
      </c>
      <c r="D5471">
        <v>28444</v>
      </c>
    </row>
    <row r="5472" spans="1:4" x14ac:dyDescent="0.25">
      <c r="A5472" t="str">
        <f>T("   950100")</f>
        <v xml:space="preserve">   950100</v>
      </c>
      <c r="B5472"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5472">
        <v>741234</v>
      </c>
      <c r="D5472">
        <v>860</v>
      </c>
    </row>
    <row r="5473" spans="1:4" x14ac:dyDescent="0.25">
      <c r="A5473" t="str">
        <f>T("   950300")</f>
        <v xml:space="preserve">   950300</v>
      </c>
      <c r="B5473"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5473">
        <v>10979941</v>
      </c>
      <c r="D5473">
        <v>7928</v>
      </c>
    </row>
    <row r="5474" spans="1:4" x14ac:dyDescent="0.25">
      <c r="A5474" t="str">
        <f>T("   950390")</f>
        <v xml:space="preserve">   950390</v>
      </c>
      <c r="B5474" t="str">
        <f>T("   Jouets, n.d.a.")</f>
        <v xml:space="preserve">   Jouets, n.d.a.</v>
      </c>
      <c r="C5474">
        <v>7380574</v>
      </c>
      <c r="D5474">
        <v>1924</v>
      </c>
    </row>
    <row r="5475" spans="1:4" x14ac:dyDescent="0.25">
      <c r="A5475" t="str">
        <f>T("   950410")</f>
        <v xml:space="preserve">   950410</v>
      </c>
      <c r="B5475" t="str">
        <f>T("   Jeux vidéo des types utilisables avec un récepteur de télévision")</f>
        <v xml:space="preserve">   Jeux vidéo des types utilisables avec un récepteur de télévision</v>
      </c>
      <c r="C5475">
        <v>1955128</v>
      </c>
      <c r="D5475">
        <v>229</v>
      </c>
    </row>
    <row r="5476" spans="1:4" x14ac:dyDescent="0.25">
      <c r="A5476" t="str">
        <f>T("   950490")</f>
        <v xml:space="preserve">   950490</v>
      </c>
      <c r="B5476" t="s">
        <v>539</v>
      </c>
      <c r="C5476">
        <v>44499362</v>
      </c>
      <c r="D5476">
        <v>10455</v>
      </c>
    </row>
    <row r="5477" spans="1:4" x14ac:dyDescent="0.25">
      <c r="A5477" t="str">
        <f>T("   950510")</f>
        <v xml:space="preserve">   950510</v>
      </c>
      <c r="B5477" t="str">
        <f>T("   Articles pour fêtes de Noël (sauf bougies et guirlandes électriques)")</f>
        <v xml:space="preserve">   Articles pour fêtes de Noël (sauf bougies et guirlandes électriques)</v>
      </c>
      <c r="C5477">
        <v>17418691</v>
      </c>
      <c r="D5477">
        <v>6088</v>
      </c>
    </row>
    <row r="5478" spans="1:4" x14ac:dyDescent="0.25">
      <c r="A5478" t="str">
        <f>T("   950590")</f>
        <v xml:space="preserve">   950590</v>
      </c>
      <c r="B5478" t="str">
        <f>T("   Articles pour fêtes, carnaval ou autres divertissements, y.c. les articles de magie et articles-surprises, n.d.a.")</f>
        <v xml:space="preserve">   Articles pour fêtes, carnaval ou autres divertissements, y.c. les articles de magie et articles-surprises, n.d.a.</v>
      </c>
      <c r="C5478">
        <v>8423159</v>
      </c>
      <c r="D5478">
        <v>7607</v>
      </c>
    </row>
    <row r="5479" spans="1:4" x14ac:dyDescent="0.25">
      <c r="A5479" t="str">
        <f>T("   950629")</f>
        <v xml:space="preserve">   950629</v>
      </c>
      <c r="B5479"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5479">
        <v>177572</v>
      </c>
      <c r="D5479">
        <v>13</v>
      </c>
    </row>
    <row r="5480" spans="1:4" x14ac:dyDescent="0.25">
      <c r="A5480" t="str">
        <f>T("   950659")</f>
        <v xml:space="preserve">   950659</v>
      </c>
      <c r="B5480"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5480">
        <v>1364397</v>
      </c>
      <c r="D5480">
        <v>422</v>
      </c>
    </row>
    <row r="5481" spans="1:4" x14ac:dyDescent="0.25">
      <c r="A5481" t="str">
        <f>T("   950662")</f>
        <v xml:space="preserve">   950662</v>
      </c>
      <c r="B5481" t="str">
        <f>T("   Ballons et balles gonflables")</f>
        <v xml:space="preserve">   Ballons et balles gonflables</v>
      </c>
      <c r="C5481">
        <v>758946</v>
      </c>
      <c r="D5481">
        <v>73</v>
      </c>
    </row>
    <row r="5482" spans="1:4" x14ac:dyDescent="0.25">
      <c r="A5482" t="str">
        <f>T("   950669")</f>
        <v xml:space="preserve">   950669</v>
      </c>
      <c r="B5482" t="str">
        <f>T("   Ballons et balles (autres que gonflables et autres que balles de golf ou de tennis de table)")</f>
        <v xml:space="preserve">   Ballons et balles (autres que gonflables et autres que balles de golf ou de tennis de table)</v>
      </c>
      <c r="C5482">
        <v>18570325</v>
      </c>
      <c r="D5482">
        <v>4872</v>
      </c>
    </row>
    <row r="5483" spans="1:4" x14ac:dyDescent="0.25">
      <c r="A5483" t="str">
        <f>T("   950691")</f>
        <v xml:space="preserve">   950691</v>
      </c>
      <c r="B5483" t="str">
        <f>T("   Articles et matériel pour la culture physique, la gymnastique ou l'athlétisme")</f>
        <v xml:space="preserve">   Articles et matériel pour la culture physique, la gymnastique ou l'athlétisme</v>
      </c>
      <c r="C5483">
        <v>5073581</v>
      </c>
      <c r="D5483">
        <v>1056</v>
      </c>
    </row>
    <row r="5484" spans="1:4" x14ac:dyDescent="0.25">
      <c r="A5484" t="str">
        <f>T("   950699")</f>
        <v xml:space="preserve">   950699</v>
      </c>
      <c r="B5484" t="str">
        <f>T("   Articles et matériel pour le sport et les jeux de plein air, n.d.a.; piscines et pataugeoires")</f>
        <v xml:space="preserve">   Articles et matériel pour le sport et les jeux de plein air, n.d.a.; piscines et pataugeoires</v>
      </c>
      <c r="C5484">
        <v>16482377</v>
      </c>
      <c r="D5484">
        <v>13357</v>
      </c>
    </row>
    <row r="5485" spans="1:4" x14ac:dyDescent="0.25">
      <c r="A5485" t="str">
        <f>T("   950710")</f>
        <v xml:space="preserve">   950710</v>
      </c>
      <c r="B5485" t="str">
        <f>T("   Cannes à pêche")</f>
        <v xml:space="preserve">   Cannes à pêche</v>
      </c>
      <c r="C5485">
        <v>824962</v>
      </c>
      <c r="D5485">
        <v>36</v>
      </c>
    </row>
    <row r="5486" spans="1:4" x14ac:dyDescent="0.25">
      <c r="A5486" t="str">
        <f>T("   950790")</f>
        <v xml:space="preserve">   950790</v>
      </c>
      <c r="B5486" t="str">
        <f>T("   Articles pour la pêche à la ligne n.d.a.; épuisettes de pêche, filets à papillons, et autres filets simil.; leurres et articles de chasse simil.; leurres et articles de chasse simil. (sauf appeaux de toutes sortes et oiseaux empaillés du n° 9705)")</f>
        <v xml:space="preserve">   Articles pour la pêche à la ligne n.d.a.; épuisettes de pêche, filets à papillons, et autres filets simil.; leurres et articles de chasse simil.; leurres et articles de chasse simil. (sauf appeaux de toutes sortes et oiseaux empaillés du n° 9705)</v>
      </c>
      <c r="C5486">
        <v>5513580</v>
      </c>
      <c r="D5486">
        <v>593</v>
      </c>
    </row>
    <row r="5487" spans="1:4" x14ac:dyDescent="0.25">
      <c r="A5487" t="str">
        <f>T("   960310")</f>
        <v xml:space="preserve">   960310</v>
      </c>
      <c r="B5487" t="str">
        <f>T("   Balais et balayettes consistant en matières végétales en bottes liées")</f>
        <v xml:space="preserve">   Balais et balayettes consistant en matières végétales en bottes liées</v>
      </c>
      <c r="C5487">
        <v>9315103</v>
      </c>
      <c r="D5487">
        <v>9948</v>
      </c>
    </row>
    <row r="5488" spans="1:4" x14ac:dyDescent="0.25">
      <c r="A5488" t="str">
        <f>T("   960321")</f>
        <v xml:space="preserve">   960321</v>
      </c>
      <c r="B5488" t="str">
        <f>T("   Brosses à dent, y.c. brosses à prothèses dentaires")</f>
        <v xml:space="preserve">   Brosses à dent, y.c. brosses à prothèses dentaires</v>
      </c>
      <c r="C5488">
        <v>45630666</v>
      </c>
      <c r="D5488">
        <v>10370</v>
      </c>
    </row>
    <row r="5489" spans="1:4" x14ac:dyDescent="0.25">
      <c r="A5489" t="str">
        <f>T("   960329")</f>
        <v xml:space="preserve">   960329</v>
      </c>
      <c r="B5489"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5489">
        <v>7173250</v>
      </c>
      <c r="D5489">
        <v>10763</v>
      </c>
    </row>
    <row r="5490" spans="1:4" x14ac:dyDescent="0.25">
      <c r="A5490" t="str">
        <f>T("   960330")</f>
        <v xml:space="preserve">   960330</v>
      </c>
      <c r="B5490" t="str">
        <f>T("   Pinceaux et brosses pour artistes, pinceaux à écrire et pinceaux simil. pour l'application des produits cosmétiques")</f>
        <v xml:space="preserve">   Pinceaux et brosses pour artistes, pinceaux à écrire et pinceaux simil. pour l'application des produits cosmétiques</v>
      </c>
      <c r="C5490">
        <v>241628</v>
      </c>
      <c r="D5490">
        <v>408</v>
      </c>
    </row>
    <row r="5491" spans="1:4" x14ac:dyDescent="0.25">
      <c r="A5491" t="str">
        <f>T("   960340")</f>
        <v xml:space="preserve">   960340</v>
      </c>
      <c r="B5491"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5491">
        <v>2671724</v>
      </c>
      <c r="D5491">
        <v>591</v>
      </c>
    </row>
    <row r="5492" spans="1:4" x14ac:dyDescent="0.25">
      <c r="A5492" t="str">
        <f>T("   960350")</f>
        <v xml:space="preserve">   960350</v>
      </c>
      <c r="B5492" t="str">
        <f>T("   Brosses constituant des parties de machines, d'appareils ou de véhicules")</f>
        <v xml:space="preserve">   Brosses constituant des parties de machines, d'appareils ou de véhicules</v>
      </c>
      <c r="C5492">
        <v>236145</v>
      </c>
      <c r="D5492">
        <v>3</v>
      </c>
    </row>
    <row r="5493" spans="1:4" x14ac:dyDescent="0.25">
      <c r="A5493" t="str">
        <f>T("   960390")</f>
        <v xml:space="preserve">   960390</v>
      </c>
      <c r="B5493"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493">
        <v>45008847</v>
      </c>
      <c r="D5493">
        <v>25777</v>
      </c>
    </row>
    <row r="5494" spans="1:4" x14ac:dyDescent="0.25">
      <c r="A5494" t="str">
        <f>T("   960400")</f>
        <v xml:space="preserve">   960400</v>
      </c>
      <c r="B5494" t="str">
        <f>T("   Tamis et cribles, à main (sauf simples égouttoirs et passoires)")</f>
        <v xml:space="preserve">   Tamis et cribles, à main (sauf simples égouttoirs et passoires)</v>
      </c>
      <c r="C5494">
        <v>3918722</v>
      </c>
      <c r="D5494">
        <v>233</v>
      </c>
    </row>
    <row r="5495" spans="1:4" x14ac:dyDescent="0.25">
      <c r="A5495" t="str">
        <f>T("   960500")</f>
        <v xml:space="preserve">   960500</v>
      </c>
      <c r="B5495"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5495">
        <v>87321</v>
      </c>
      <c r="D5495">
        <v>718</v>
      </c>
    </row>
    <row r="5496" spans="1:4" x14ac:dyDescent="0.25">
      <c r="A5496" t="str">
        <f>T("   960629")</f>
        <v xml:space="preserve">   960629</v>
      </c>
      <c r="B5496"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5496">
        <v>23283783</v>
      </c>
      <c r="D5496">
        <v>20705</v>
      </c>
    </row>
    <row r="5497" spans="1:4" x14ac:dyDescent="0.25">
      <c r="A5497" t="str">
        <f>T("   960630")</f>
        <v xml:space="preserve">   960630</v>
      </c>
      <c r="B5497" t="str">
        <f>T("   Formes pour boutons et autres parties de boutons; ébauches de boutons")</f>
        <v xml:space="preserve">   Formes pour boutons et autres parties de boutons; ébauches de boutons</v>
      </c>
      <c r="C5497">
        <v>629722</v>
      </c>
      <c r="D5497">
        <v>748</v>
      </c>
    </row>
    <row r="5498" spans="1:4" x14ac:dyDescent="0.25">
      <c r="A5498" t="str">
        <f>T("   960719")</f>
        <v xml:space="preserve">   960719</v>
      </c>
      <c r="B5498" t="str">
        <f>T("   Fermetures à glissière sans agrafes et autres qu'en métaux communs")</f>
        <v xml:space="preserve">   Fermetures à glissière sans agrafes et autres qu'en métaux communs</v>
      </c>
      <c r="C5498">
        <v>150000</v>
      </c>
      <c r="D5498">
        <v>183</v>
      </c>
    </row>
    <row r="5499" spans="1:4" x14ac:dyDescent="0.25">
      <c r="A5499" t="str">
        <f>T("   960810")</f>
        <v xml:space="preserve">   960810</v>
      </c>
      <c r="B5499" t="str">
        <f>T("   Stylos et crayons à bille")</f>
        <v xml:space="preserve">   Stylos et crayons à bille</v>
      </c>
      <c r="C5499">
        <v>31827904</v>
      </c>
      <c r="D5499">
        <v>33689</v>
      </c>
    </row>
    <row r="5500" spans="1:4" x14ac:dyDescent="0.25">
      <c r="A5500" t="str">
        <f>T("   960820")</f>
        <v xml:space="preserve">   960820</v>
      </c>
      <c r="B5500" t="str">
        <f>T("   Stylos et marqueurs à mèche feutre ou à autres pointes poreuses")</f>
        <v xml:space="preserve">   Stylos et marqueurs à mèche feutre ou à autres pointes poreuses</v>
      </c>
      <c r="C5500">
        <v>25142121</v>
      </c>
      <c r="D5500">
        <v>43200</v>
      </c>
    </row>
    <row r="5501" spans="1:4" x14ac:dyDescent="0.25">
      <c r="A5501" t="str">
        <f>T("   960839")</f>
        <v xml:space="preserve">   960839</v>
      </c>
      <c r="B5501" t="str">
        <f>T("   Stylos à plume et autres stylos (autres qu'à dessiner à l'encre de Chine)")</f>
        <v xml:space="preserve">   Stylos à plume et autres stylos (autres qu'à dessiner à l'encre de Chine)</v>
      </c>
      <c r="C5501">
        <v>13284148</v>
      </c>
      <c r="D5501">
        <v>4656</v>
      </c>
    </row>
    <row r="5502" spans="1:4" x14ac:dyDescent="0.25">
      <c r="A5502" t="str">
        <f>T("   960899")</f>
        <v xml:space="preserve">   960899</v>
      </c>
      <c r="B5502"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5502">
        <v>6332356</v>
      </c>
      <c r="D5502">
        <v>749.2</v>
      </c>
    </row>
    <row r="5503" spans="1:4" x14ac:dyDescent="0.25">
      <c r="A5503" t="str">
        <f>T("   960910")</f>
        <v xml:space="preserve">   960910</v>
      </c>
      <c r="B5503" t="str">
        <f>T("   Crayons à gaine")</f>
        <v xml:space="preserve">   Crayons à gaine</v>
      </c>
      <c r="C5503">
        <v>983940</v>
      </c>
      <c r="D5503">
        <v>115</v>
      </c>
    </row>
    <row r="5504" spans="1:4" x14ac:dyDescent="0.25">
      <c r="A5504" t="str">
        <f>T("   960990")</f>
        <v xml:space="preserve">   960990</v>
      </c>
      <c r="B5504" t="str">
        <f>T("   Crayons (sauf crayons à gaine), pastels, fusains, craies à écrire ou à dessiner et craies de tailleurs")</f>
        <v xml:space="preserve">   Crayons (sauf crayons à gaine), pastels, fusains, craies à écrire ou à dessiner et craies de tailleurs</v>
      </c>
      <c r="C5504">
        <v>31934648</v>
      </c>
      <c r="D5504">
        <v>242184</v>
      </c>
    </row>
    <row r="5505" spans="1:4" x14ac:dyDescent="0.25">
      <c r="A5505" t="str">
        <f>T("   961000")</f>
        <v xml:space="preserve">   961000</v>
      </c>
      <c r="B5505" t="str">
        <f>T("   Ardoises et tableaux pour l'écriture ou le dessin, même encadrés")</f>
        <v xml:space="preserve">   Ardoises et tableaux pour l'écriture ou le dessin, même encadrés</v>
      </c>
      <c r="C5505">
        <v>3899196</v>
      </c>
      <c r="D5505">
        <v>2395</v>
      </c>
    </row>
    <row r="5506" spans="1:4" x14ac:dyDescent="0.25">
      <c r="A5506" t="str">
        <f>T("   961100")</f>
        <v xml:space="preserve">   961100</v>
      </c>
      <c r="B5506" t="str">
        <f>T("   Dateurs, cachets, numéroteurs, timbres et articles simil., y.c. les appareils pour l'impression d'étiquettes, à main; composteurs et imprimeries comportant des composteurs, à main")</f>
        <v xml:space="preserve">   Dateurs, cachets, numéroteurs, timbres et articles simil., y.c. les appareils pour l'impression d'étiquettes, à main; composteurs et imprimeries comportant des composteurs, à main</v>
      </c>
      <c r="C5506">
        <v>495322</v>
      </c>
      <c r="D5506">
        <v>1564</v>
      </c>
    </row>
    <row r="5507" spans="1:4" x14ac:dyDescent="0.25">
      <c r="A5507" t="str">
        <f>T("   961210")</f>
        <v xml:space="preserve">   961210</v>
      </c>
      <c r="B5507"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5507">
        <v>2002549</v>
      </c>
      <c r="D5507">
        <v>508</v>
      </c>
    </row>
    <row r="5508" spans="1:4" x14ac:dyDescent="0.25">
      <c r="A5508" t="str">
        <f>T("   961220")</f>
        <v xml:space="preserve">   961220</v>
      </c>
      <c r="B5508" t="str">
        <f>T("   Tampons encreurs, même imprégnés, avec ou sans boîte")</f>
        <v xml:space="preserve">   Tampons encreurs, même imprégnés, avec ou sans boîte</v>
      </c>
      <c r="C5508">
        <v>770097</v>
      </c>
      <c r="D5508">
        <v>38</v>
      </c>
    </row>
    <row r="5509" spans="1:4" x14ac:dyDescent="0.25">
      <c r="A5509" t="str">
        <f>T("   961519")</f>
        <v xml:space="preserve">   961519</v>
      </c>
      <c r="B5509"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5509">
        <v>10665255</v>
      </c>
      <c r="D5509">
        <v>725</v>
      </c>
    </row>
    <row r="5510" spans="1:4" x14ac:dyDescent="0.25">
      <c r="A5510" t="str">
        <f>T("   961700")</f>
        <v xml:space="preserve">   961700</v>
      </c>
      <c r="B5510"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5510">
        <v>10838539</v>
      </c>
      <c r="D5510">
        <v>3196</v>
      </c>
    </row>
    <row r="5511" spans="1:4" x14ac:dyDescent="0.25">
      <c r="A5511" t="str">
        <f>T("   970190")</f>
        <v xml:space="preserve">   970190</v>
      </c>
      <c r="B5511" t="str">
        <f>T("   Collages et tableautins simil.")</f>
        <v xml:space="preserve">   Collages et tableautins simil.</v>
      </c>
      <c r="C5511">
        <v>446512</v>
      </c>
      <c r="D5511">
        <v>400</v>
      </c>
    </row>
    <row r="5512" spans="1:4" x14ac:dyDescent="0.25">
      <c r="A5512" t="str">
        <f>T("   970200")</f>
        <v xml:space="preserve">   970200</v>
      </c>
      <c r="B5512" t="str">
        <f>T("   Gravures, estampes et lithographies originales")</f>
        <v xml:space="preserve">   Gravures, estampes et lithographies originales</v>
      </c>
      <c r="C5512">
        <v>152649</v>
      </c>
      <c r="D5512">
        <v>188</v>
      </c>
    </row>
    <row r="5513" spans="1:4" x14ac:dyDescent="0.25">
      <c r="A5513" t="str">
        <f>T("   970300")</f>
        <v xml:space="preserve">   970300</v>
      </c>
      <c r="B5513" t="str">
        <f>T("   Productions originales de l'art statuaire ou de la sculpture, en toutes matières")</f>
        <v xml:space="preserve">   Productions originales de l'art statuaire ou de la sculpture, en toutes matières</v>
      </c>
      <c r="C5513">
        <v>166084</v>
      </c>
      <c r="D5513">
        <v>63</v>
      </c>
    </row>
    <row r="5514" spans="1:4" x14ac:dyDescent="0.25">
      <c r="A5514" t="str">
        <f>T("   970600")</f>
        <v xml:space="preserve">   970600</v>
      </c>
      <c r="B5514" t="str">
        <f>T("   Objets d'antiquité ayant plus de cent ans d'âge")</f>
        <v xml:space="preserve">   Objets d'antiquité ayant plus de cent ans d'âge</v>
      </c>
      <c r="C5514">
        <v>242705</v>
      </c>
      <c r="D5514">
        <v>270</v>
      </c>
    </row>
    <row r="5515" spans="1:4" x14ac:dyDescent="0.25">
      <c r="A5515" t="str">
        <f>T("GA")</f>
        <v>GA</v>
      </c>
      <c r="B5515" t="str">
        <f>T("Gabon")</f>
        <v>Gabon</v>
      </c>
    </row>
    <row r="5516" spans="1:4" x14ac:dyDescent="0.25">
      <c r="A5516" t="str">
        <f>T("   ZZ_Total_Produit_SH6")</f>
        <v xml:space="preserve">   ZZ_Total_Produit_SH6</v>
      </c>
      <c r="B5516" t="str">
        <f>T("   ZZ_Total_Produit_SH6")</f>
        <v xml:space="preserve">   ZZ_Total_Produit_SH6</v>
      </c>
      <c r="C5516">
        <v>132203798</v>
      </c>
      <c r="D5516">
        <v>116184</v>
      </c>
    </row>
    <row r="5517" spans="1:4" x14ac:dyDescent="0.25">
      <c r="A5517" t="str">
        <f>T("   100630")</f>
        <v xml:space="preserve">   100630</v>
      </c>
      <c r="B5517" t="str">
        <f>T("   Riz semi-blanchi ou blanchi, même poli ou glacé")</f>
        <v xml:space="preserve">   Riz semi-blanchi ou blanchi, même poli ou glacé</v>
      </c>
      <c r="C5517">
        <v>92000</v>
      </c>
      <c r="D5517">
        <v>50</v>
      </c>
    </row>
    <row r="5518" spans="1:4" x14ac:dyDescent="0.25">
      <c r="A5518" t="str">
        <f>T("   200290")</f>
        <v xml:space="preserve">   200290</v>
      </c>
      <c r="B551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518">
        <v>77000</v>
      </c>
      <c r="D5518">
        <v>25</v>
      </c>
    </row>
    <row r="5519" spans="1:4" x14ac:dyDescent="0.25">
      <c r="A5519" t="str">
        <f>T("   440729")</f>
        <v xml:space="preserve">   440729</v>
      </c>
      <c r="B5519" t="s">
        <v>179</v>
      </c>
      <c r="C5519">
        <v>1355000</v>
      </c>
      <c r="D5519">
        <v>8630</v>
      </c>
    </row>
    <row r="5520" spans="1:4" x14ac:dyDescent="0.25">
      <c r="A5520" t="str">
        <f>T("   440799")</f>
        <v xml:space="preserve">   440799</v>
      </c>
      <c r="B5520" t="s">
        <v>180</v>
      </c>
      <c r="C5520">
        <v>1673100</v>
      </c>
      <c r="D5520">
        <v>21050</v>
      </c>
    </row>
    <row r="5521" spans="1:4" x14ac:dyDescent="0.25">
      <c r="A5521" t="str">
        <f>T("   441890")</f>
        <v xml:space="preserve">   441890</v>
      </c>
      <c r="B5521" t="s">
        <v>200</v>
      </c>
      <c r="C5521">
        <v>55900000</v>
      </c>
      <c r="D5521">
        <v>53460</v>
      </c>
    </row>
    <row r="5522" spans="1:4" x14ac:dyDescent="0.25">
      <c r="A5522" t="str">
        <f>T("   490199")</f>
        <v xml:space="preserve">   490199</v>
      </c>
      <c r="B552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522">
        <v>600000</v>
      </c>
      <c r="D5522">
        <v>350</v>
      </c>
    </row>
    <row r="5523" spans="1:4" x14ac:dyDescent="0.25">
      <c r="A5523" t="str">
        <f>T("   610190")</f>
        <v xml:space="preserve">   610190</v>
      </c>
      <c r="B5523" t="s">
        <v>278</v>
      </c>
      <c r="C5523">
        <v>450000</v>
      </c>
      <c r="D5523">
        <v>3000</v>
      </c>
    </row>
    <row r="5524" spans="1:4" x14ac:dyDescent="0.25">
      <c r="A5524" t="str">
        <f>T("   620590")</f>
        <v xml:space="preserve">   620590</v>
      </c>
      <c r="B552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524">
        <v>3750000</v>
      </c>
      <c r="D5524">
        <v>2800</v>
      </c>
    </row>
    <row r="5525" spans="1:4" x14ac:dyDescent="0.25">
      <c r="A5525" t="str">
        <f>T("   621040")</f>
        <v xml:space="preserve">   621040</v>
      </c>
      <c r="B5525" t="s">
        <v>294</v>
      </c>
      <c r="C5525">
        <v>400000</v>
      </c>
      <c r="D5525">
        <v>1600</v>
      </c>
    </row>
    <row r="5526" spans="1:4" x14ac:dyDescent="0.25">
      <c r="A5526" t="str">
        <f>T("   630900")</f>
        <v xml:space="preserve">   630900</v>
      </c>
      <c r="B5526" t="s">
        <v>300</v>
      </c>
      <c r="C5526">
        <v>167450</v>
      </c>
      <c r="D5526">
        <v>205</v>
      </c>
    </row>
    <row r="5527" spans="1:4" x14ac:dyDescent="0.25">
      <c r="A5527" t="str">
        <f>T("   731010")</f>
        <v xml:space="preserve">   731010</v>
      </c>
      <c r="B552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5527">
        <v>365000</v>
      </c>
      <c r="D5527">
        <v>1000</v>
      </c>
    </row>
    <row r="5528" spans="1:4" x14ac:dyDescent="0.25">
      <c r="A5528" t="str">
        <f>T("   732394")</f>
        <v xml:space="preserve">   732394</v>
      </c>
      <c r="B5528" t="s">
        <v>389</v>
      </c>
      <c r="C5528">
        <v>2800000</v>
      </c>
      <c r="D5528">
        <v>2400</v>
      </c>
    </row>
    <row r="5529" spans="1:4" x14ac:dyDescent="0.25">
      <c r="A5529" t="str">
        <f>T("   732399")</f>
        <v xml:space="preserve">   732399</v>
      </c>
      <c r="B5529" t="s">
        <v>390</v>
      </c>
      <c r="C5529">
        <v>1000000</v>
      </c>
      <c r="D5529">
        <v>500</v>
      </c>
    </row>
    <row r="5530" spans="1:4" x14ac:dyDescent="0.25">
      <c r="A5530" t="str">
        <f>T("   841829")</f>
        <v xml:space="preserve">   841829</v>
      </c>
      <c r="B5530" t="str">
        <f>T("   Réfrigérateurs ménagers à absorption, non-électriques")</f>
        <v xml:space="preserve">   Réfrigérateurs ménagers à absorption, non-électriques</v>
      </c>
      <c r="C5530">
        <v>510000</v>
      </c>
      <c r="D5530">
        <v>4000</v>
      </c>
    </row>
    <row r="5531" spans="1:4" x14ac:dyDescent="0.25">
      <c r="A5531" t="str">
        <f>T("   850161")</f>
        <v xml:space="preserve">   850161</v>
      </c>
      <c r="B5531" t="str">
        <f>T("   Alternateurs, puissance &lt;= 75 kVA")</f>
        <v xml:space="preserve">   Alternateurs, puissance &lt;= 75 kVA</v>
      </c>
      <c r="C5531">
        <v>400136</v>
      </c>
      <c r="D5531">
        <v>115</v>
      </c>
    </row>
    <row r="5532" spans="1:4" x14ac:dyDescent="0.25">
      <c r="A5532" t="str">
        <f>T("   850211")</f>
        <v xml:space="preserve">   850211</v>
      </c>
      <c r="B5532" t="s">
        <v>470</v>
      </c>
      <c r="C5532">
        <v>750000</v>
      </c>
      <c r="D5532">
        <v>900</v>
      </c>
    </row>
    <row r="5533" spans="1:4" x14ac:dyDescent="0.25">
      <c r="A5533" t="str">
        <f>T("   870323")</f>
        <v xml:space="preserve">   870323</v>
      </c>
      <c r="B5533" t="s">
        <v>507</v>
      </c>
      <c r="C5533">
        <v>32732404</v>
      </c>
      <c r="D5533">
        <v>3500</v>
      </c>
    </row>
    <row r="5534" spans="1:4" x14ac:dyDescent="0.25">
      <c r="A5534" t="str">
        <f>T("   870333")</f>
        <v xml:space="preserve">   870333</v>
      </c>
      <c r="B5534" t="s">
        <v>511</v>
      </c>
      <c r="C5534">
        <v>8800478</v>
      </c>
      <c r="D5534">
        <v>2020</v>
      </c>
    </row>
    <row r="5535" spans="1:4" x14ac:dyDescent="0.25">
      <c r="A5535" t="str">
        <f>T("   870421")</f>
        <v xml:space="preserve">   870421</v>
      </c>
      <c r="B5535" t="s">
        <v>512</v>
      </c>
      <c r="C5535">
        <v>9168405</v>
      </c>
      <c r="D5535">
        <v>2080</v>
      </c>
    </row>
    <row r="5536" spans="1:4" x14ac:dyDescent="0.25">
      <c r="A5536" t="str">
        <f>T("   940350")</f>
        <v xml:space="preserve">   940350</v>
      </c>
      <c r="B5536" t="str">
        <f>T("   Meubles pour chambres à coucher, en bois (sauf sièges)")</f>
        <v xml:space="preserve">   Meubles pour chambres à coucher, en bois (sauf sièges)</v>
      </c>
      <c r="C5536">
        <v>6750000</v>
      </c>
      <c r="D5536">
        <v>6550</v>
      </c>
    </row>
    <row r="5537" spans="1:4" x14ac:dyDescent="0.25">
      <c r="A5537" t="str">
        <f>T("   940360")</f>
        <v xml:space="preserve">   940360</v>
      </c>
      <c r="B5537" t="str">
        <f>T("   Meubles en bois (autres que pour bureaux, cuisines ou chambres à coucher et autres que sièges)")</f>
        <v xml:space="preserve">   Meubles en bois (autres que pour bureaux, cuisines ou chambres à coucher et autres que sièges)</v>
      </c>
      <c r="C5537">
        <v>4000000</v>
      </c>
      <c r="D5537">
        <v>1900</v>
      </c>
    </row>
    <row r="5538" spans="1:4" x14ac:dyDescent="0.25">
      <c r="A5538" t="str">
        <f>T("   940389")</f>
        <v xml:space="preserve">   940389</v>
      </c>
      <c r="B5538"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5538">
        <v>157500</v>
      </c>
      <c r="D5538">
        <v>48</v>
      </c>
    </row>
    <row r="5539" spans="1:4" x14ac:dyDescent="0.25">
      <c r="A5539" t="str">
        <f>T("   950410")</f>
        <v xml:space="preserve">   950410</v>
      </c>
      <c r="B5539" t="str">
        <f>T("   Jeux vidéo des types utilisables avec un récepteur de télévision")</f>
        <v xml:space="preserve">   Jeux vidéo des types utilisables avec un récepteur de télévision</v>
      </c>
      <c r="C5539">
        <v>305325</v>
      </c>
      <c r="D5539">
        <v>1</v>
      </c>
    </row>
    <row r="5540" spans="1:4" x14ac:dyDescent="0.25">
      <c r="A5540" t="str">
        <f>T("GB")</f>
        <v>GB</v>
      </c>
      <c r="B5540" t="str">
        <f>T("Royaume-Uni")</f>
        <v>Royaume-Uni</v>
      </c>
    </row>
    <row r="5541" spans="1:4" x14ac:dyDescent="0.25">
      <c r="A5541" t="str">
        <f>T("   ZZ_Total_Produit_SH6")</f>
        <v xml:space="preserve">   ZZ_Total_Produit_SH6</v>
      </c>
      <c r="B5541" t="str">
        <f>T("   ZZ_Total_Produit_SH6")</f>
        <v xml:space="preserve">   ZZ_Total_Produit_SH6</v>
      </c>
      <c r="C5541">
        <v>27964249163</v>
      </c>
      <c r="D5541">
        <v>59168116.700000003</v>
      </c>
    </row>
    <row r="5542" spans="1:4" x14ac:dyDescent="0.25">
      <c r="A5542" t="str">
        <f>T("   020712")</f>
        <v xml:space="preserve">   020712</v>
      </c>
      <c r="B5542" t="str">
        <f>T("   COQS ET POULES [DES ESPÈCES DOMESTIQUES], NON-DÉCOUPÉS EN MORCEAUX, CONGELÉS")</f>
        <v xml:space="preserve">   COQS ET POULES [DES ESPÈCES DOMESTIQUES], NON-DÉCOUPÉS EN MORCEAUX, CONGELÉS</v>
      </c>
      <c r="C5542">
        <v>15550188</v>
      </c>
      <c r="D5542">
        <v>25000</v>
      </c>
    </row>
    <row r="5543" spans="1:4" x14ac:dyDescent="0.25">
      <c r="A5543" t="str">
        <f>T("   020714")</f>
        <v xml:space="preserve">   020714</v>
      </c>
      <c r="B5543" t="str">
        <f>T("   Morceaux et abats comestibles de coqs et de poules [des espèces domestiques], congelés")</f>
        <v xml:space="preserve">   Morceaux et abats comestibles de coqs et de poules [des espèces domestiques], congelés</v>
      </c>
      <c r="C5543">
        <v>5618471439</v>
      </c>
      <c r="D5543">
        <v>9075923</v>
      </c>
    </row>
    <row r="5544" spans="1:4" x14ac:dyDescent="0.25">
      <c r="A5544" t="str">
        <f>T("   020727")</f>
        <v xml:space="preserve">   020727</v>
      </c>
      <c r="B5544" t="str">
        <f>T("   Morceaux et abats comestibles de dindes et dindons [des espèces domestiques], congelés")</f>
        <v xml:space="preserve">   Morceaux et abats comestibles de dindes et dindons [des espèces domestiques], congelés</v>
      </c>
      <c r="C5544">
        <v>500933991</v>
      </c>
      <c r="D5544">
        <v>803457</v>
      </c>
    </row>
    <row r="5545" spans="1:4" x14ac:dyDescent="0.25">
      <c r="A5545" t="str">
        <f>T("   030379")</f>
        <v xml:space="preserve">   030379</v>
      </c>
      <c r="B5545" t="s">
        <v>16</v>
      </c>
      <c r="C5545">
        <v>1037066353</v>
      </c>
      <c r="D5545">
        <v>4609255</v>
      </c>
    </row>
    <row r="5546" spans="1:4" x14ac:dyDescent="0.25">
      <c r="A5546" t="str">
        <f>T("   071010")</f>
        <v xml:space="preserve">   071010</v>
      </c>
      <c r="B5546" t="str">
        <f>T("   Pommes de terre, non cuites ou cuites à l'eau ou à la vapeur, congelées")</f>
        <v xml:space="preserve">   Pommes de terre, non cuites ou cuites à l'eau ou à la vapeur, congelées</v>
      </c>
      <c r="C5546">
        <v>4785000</v>
      </c>
      <c r="D5546">
        <v>29000</v>
      </c>
    </row>
    <row r="5547" spans="1:4" x14ac:dyDescent="0.25">
      <c r="A5547" t="str">
        <f>T("   071339")</f>
        <v xml:space="preserve">   071339</v>
      </c>
      <c r="B5547"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5547">
        <v>2363903</v>
      </c>
      <c r="D5547">
        <v>3803</v>
      </c>
    </row>
    <row r="5548" spans="1:4" x14ac:dyDescent="0.25">
      <c r="A5548" t="str">
        <f>T("   071390")</f>
        <v xml:space="preserve">   071390</v>
      </c>
      <c r="B5548"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5548">
        <v>5798059</v>
      </c>
      <c r="D5548">
        <v>9876</v>
      </c>
    </row>
    <row r="5549" spans="1:4" x14ac:dyDescent="0.25">
      <c r="A5549" t="str">
        <f>T("   090210")</f>
        <v xml:space="preserve">   090210</v>
      </c>
      <c r="B5549" t="str">
        <f>T("   Thé vert [thé non fermenté], présenté en emballages immédiats d'un contenu &lt;= 3 kg")</f>
        <v xml:space="preserve">   Thé vert [thé non fermenté], présenté en emballages immédiats d'un contenu &lt;= 3 kg</v>
      </c>
      <c r="C5549">
        <v>2491753</v>
      </c>
      <c r="D5549">
        <v>3570</v>
      </c>
    </row>
    <row r="5550" spans="1:4" x14ac:dyDescent="0.25">
      <c r="A5550" t="str">
        <f>T("   100610")</f>
        <v xml:space="preserve">   100610</v>
      </c>
      <c r="B5550" t="str">
        <f>T("   Riz en paille [riz paddy]")</f>
        <v xml:space="preserve">   Riz en paille [riz paddy]</v>
      </c>
      <c r="C5550">
        <v>887220</v>
      </c>
      <c r="D5550">
        <v>1116</v>
      </c>
    </row>
    <row r="5551" spans="1:4" x14ac:dyDescent="0.25">
      <c r="A5551" t="str">
        <f>T("   110290")</f>
        <v xml:space="preserve">   110290</v>
      </c>
      <c r="B5551" t="str">
        <f>T("   FARINES DE CÉRÉALES (À L'EXCL. DES FARINES DE FROMENT [BLÉ], DE MÉTEIL, DE SEIGLE ET DE MAÏS)")</f>
        <v xml:space="preserve">   FARINES DE CÉRÉALES (À L'EXCL. DES FARINES DE FROMENT [BLÉ], DE MÉTEIL, DE SEIGLE ET DE MAÏS)</v>
      </c>
      <c r="C5551">
        <v>774086</v>
      </c>
      <c r="D5551">
        <v>1075</v>
      </c>
    </row>
    <row r="5552" spans="1:4" x14ac:dyDescent="0.25">
      <c r="A5552" t="str">
        <f>T("   110610")</f>
        <v xml:space="preserve">   110610</v>
      </c>
      <c r="B5552" t="str">
        <f>T("   Farines, semoules et poudres de légumes à cosse secs du n° 0713")</f>
        <v xml:space="preserve">   Farines, semoules et poudres de légumes à cosse secs du n° 0713</v>
      </c>
      <c r="C5552">
        <v>1030287</v>
      </c>
      <c r="D5552">
        <v>2235</v>
      </c>
    </row>
    <row r="5553" spans="1:4" x14ac:dyDescent="0.25">
      <c r="A5553" t="str">
        <f>T("   120100")</f>
        <v xml:space="preserve">   120100</v>
      </c>
      <c r="B5553" t="str">
        <f>T("   Fèves de soja, même concassées")</f>
        <v xml:space="preserve">   Fèves de soja, même concassées</v>
      </c>
      <c r="C5553">
        <v>2037215</v>
      </c>
      <c r="D5553">
        <v>4241</v>
      </c>
    </row>
    <row r="5554" spans="1:4" x14ac:dyDescent="0.25">
      <c r="A5554" t="str">
        <f>T("   150990")</f>
        <v xml:space="preserve">   150990</v>
      </c>
      <c r="B5554"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5554">
        <v>34569</v>
      </c>
      <c r="D5554">
        <v>56</v>
      </c>
    </row>
    <row r="5555" spans="1:4" x14ac:dyDescent="0.25">
      <c r="A5555" t="str">
        <f>T("   151550")</f>
        <v xml:space="preserve">   151550</v>
      </c>
      <c r="B5555" t="str">
        <f>T("   Huile de sésame et ses fractions, même raffinées, mais non chimiquement modifiées")</f>
        <v xml:space="preserve">   Huile de sésame et ses fractions, même raffinées, mais non chimiquement modifiées</v>
      </c>
      <c r="C5555">
        <v>393750</v>
      </c>
      <c r="D5555">
        <v>1575</v>
      </c>
    </row>
    <row r="5556" spans="1:4" x14ac:dyDescent="0.25">
      <c r="A5556" t="str">
        <f>T("   160413")</f>
        <v xml:space="preserve">   160413</v>
      </c>
      <c r="B555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5556">
        <v>13189200</v>
      </c>
      <c r="D5556">
        <v>48180</v>
      </c>
    </row>
    <row r="5557" spans="1:4" x14ac:dyDescent="0.25">
      <c r="A5557" t="str">
        <f>T("   160420")</f>
        <v xml:space="preserve">   160420</v>
      </c>
      <c r="B5557" t="str">
        <f>T("   Préparations et conserves de poissons (à l'excl. des préparations et conserves de poissons entiers ou en morceaux)")</f>
        <v xml:space="preserve">   Préparations et conserves de poissons (à l'excl. des préparations et conserves de poissons entiers ou en morceaux)</v>
      </c>
      <c r="C5557">
        <v>90509</v>
      </c>
      <c r="D5557">
        <v>250</v>
      </c>
    </row>
    <row r="5558" spans="1:4" x14ac:dyDescent="0.25">
      <c r="A5558" t="str">
        <f>T("   180631")</f>
        <v xml:space="preserve">   180631</v>
      </c>
      <c r="B555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5558">
        <v>9041785</v>
      </c>
      <c r="D5558">
        <v>16593</v>
      </c>
    </row>
    <row r="5559" spans="1:4" x14ac:dyDescent="0.25">
      <c r="A5559" t="str">
        <f>T("   190120")</f>
        <v xml:space="preserve">   190120</v>
      </c>
      <c r="B5559" t="s">
        <v>49</v>
      </c>
      <c r="C5559">
        <v>764167</v>
      </c>
      <c r="D5559">
        <v>1496</v>
      </c>
    </row>
    <row r="5560" spans="1:4" x14ac:dyDescent="0.25">
      <c r="A5560" t="str">
        <f>T("   190190")</f>
        <v xml:space="preserve">   190190</v>
      </c>
      <c r="B5560" t="s">
        <v>50</v>
      </c>
      <c r="C5560">
        <v>65598</v>
      </c>
      <c r="D5560">
        <v>765</v>
      </c>
    </row>
    <row r="5561" spans="1:4" x14ac:dyDescent="0.25">
      <c r="A5561" t="str">
        <f>T("   190410")</f>
        <v xml:space="preserve">   190410</v>
      </c>
      <c r="B5561" t="str">
        <f>T("   PRODUITS À BASE DE CÉRÉALES OBTENUS PAR SOUFFLAGE OU GRILLAGE [CORN FLAKES, P.EX.]")</f>
        <v xml:space="preserve">   PRODUITS À BASE DE CÉRÉALES OBTENUS PAR SOUFFLAGE OU GRILLAGE [CORN FLAKES, P.EX.]</v>
      </c>
      <c r="C5561">
        <v>13659244</v>
      </c>
      <c r="D5561">
        <v>23487</v>
      </c>
    </row>
    <row r="5562" spans="1:4" x14ac:dyDescent="0.25">
      <c r="A5562" t="str">
        <f>T("   190590")</f>
        <v xml:space="preserve">   190590</v>
      </c>
      <c r="B5562" t="s">
        <v>52</v>
      </c>
      <c r="C5562">
        <v>3197910</v>
      </c>
      <c r="D5562">
        <v>4381</v>
      </c>
    </row>
    <row r="5563" spans="1:4" x14ac:dyDescent="0.25">
      <c r="A5563" t="str">
        <f>T("   200290")</f>
        <v xml:space="preserve">   200290</v>
      </c>
      <c r="B5563"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563">
        <v>188046</v>
      </c>
      <c r="D5563">
        <v>110</v>
      </c>
    </row>
    <row r="5564" spans="1:4" x14ac:dyDescent="0.25">
      <c r="A5564" t="str">
        <f>T("   200559")</f>
        <v xml:space="preserve">   200559</v>
      </c>
      <c r="B5564"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5564">
        <v>30000</v>
      </c>
      <c r="D5564">
        <v>112</v>
      </c>
    </row>
    <row r="5565" spans="1:4" x14ac:dyDescent="0.25">
      <c r="A5565" t="str">
        <f>T("   200919")</f>
        <v xml:space="preserve">   200919</v>
      </c>
      <c r="B5565"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5565">
        <v>801304</v>
      </c>
      <c r="D5565">
        <v>1610</v>
      </c>
    </row>
    <row r="5566" spans="1:4" x14ac:dyDescent="0.25">
      <c r="A5566" t="str">
        <f>T("   200980")</f>
        <v xml:space="preserve">   200980</v>
      </c>
      <c r="B556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566">
        <v>6691697</v>
      </c>
      <c r="D5566">
        <v>11434</v>
      </c>
    </row>
    <row r="5567" spans="1:4" x14ac:dyDescent="0.25">
      <c r="A5567" t="str">
        <f>T("   200990")</f>
        <v xml:space="preserve">   200990</v>
      </c>
      <c r="B556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567">
        <v>887323</v>
      </c>
      <c r="D5567">
        <v>1427</v>
      </c>
    </row>
    <row r="5568" spans="1:4" x14ac:dyDescent="0.25">
      <c r="A5568" t="str">
        <f>T("   210230")</f>
        <v xml:space="preserve">   210230</v>
      </c>
      <c r="B5568" t="str">
        <f>T("   Poudres à lever préparées")</f>
        <v xml:space="preserve">   Poudres à lever préparées</v>
      </c>
      <c r="C5568">
        <v>1176189</v>
      </c>
      <c r="D5568">
        <v>1893</v>
      </c>
    </row>
    <row r="5569" spans="1:4" x14ac:dyDescent="0.25">
      <c r="A5569" t="str">
        <f>T("   210610")</f>
        <v xml:space="preserve">   210610</v>
      </c>
      <c r="B5569" t="str">
        <f>T("   Concentrats de protéines et substances protéiques texturées")</f>
        <v xml:space="preserve">   Concentrats de protéines et substances protéiques texturées</v>
      </c>
      <c r="C5569">
        <v>10350</v>
      </c>
      <c r="D5569">
        <v>204</v>
      </c>
    </row>
    <row r="5570" spans="1:4" x14ac:dyDescent="0.25">
      <c r="A5570" t="str">
        <f>T("   220210")</f>
        <v xml:space="preserve">   220210</v>
      </c>
      <c r="B557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570">
        <v>3866204</v>
      </c>
      <c r="D5570">
        <v>5681</v>
      </c>
    </row>
    <row r="5571" spans="1:4" x14ac:dyDescent="0.25">
      <c r="A5571" t="str">
        <f>T("   220290")</f>
        <v xml:space="preserve">   220290</v>
      </c>
      <c r="B5571" t="str">
        <f>T("   BOISSONS NON-ALCOOLIQUES (À L'EXCL. DES EAUX, DES JUS DE FRUITS OU DE LÉGUMES AINSI QUE DU LAIT)")</f>
        <v xml:space="preserve">   BOISSONS NON-ALCOOLIQUES (À L'EXCL. DES EAUX, DES JUS DE FRUITS OU DE LÉGUMES AINSI QUE DU LAIT)</v>
      </c>
      <c r="C5571">
        <v>3420347</v>
      </c>
      <c r="D5571">
        <v>19608</v>
      </c>
    </row>
    <row r="5572" spans="1:4" x14ac:dyDescent="0.25">
      <c r="A5572" t="str">
        <f>T("   220300")</f>
        <v xml:space="preserve">   220300</v>
      </c>
      <c r="B5572" t="str">
        <f>T("   Bières de malt")</f>
        <v xml:space="preserve">   Bières de malt</v>
      </c>
      <c r="C5572">
        <v>43118578</v>
      </c>
      <c r="D5572">
        <v>320948</v>
      </c>
    </row>
    <row r="5573" spans="1:4" x14ac:dyDescent="0.25">
      <c r="A5573" t="str">
        <f>T("   220421")</f>
        <v xml:space="preserve">   220421</v>
      </c>
      <c r="B5573"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5573">
        <v>61200738</v>
      </c>
      <c r="D5573">
        <v>997715</v>
      </c>
    </row>
    <row r="5574" spans="1:4" x14ac:dyDescent="0.25">
      <c r="A5574" t="str">
        <f>T("   220429")</f>
        <v xml:space="preserve">   220429</v>
      </c>
      <c r="B5574"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5574">
        <v>33566489</v>
      </c>
      <c r="D5574">
        <v>256246</v>
      </c>
    </row>
    <row r="5575" spans="1:4" x14ac:dyDescent="0.25">
      <c r="A5575" t="str">
        <f>T("   220890")</f>
        <v xml:space="preserve">   220890</v>
      </c>
      <c r="B5575" t="s">
        <v>61</v>
      </c>
      <c r="C5575">
        <v>1790771</v>
      </c>
      <c r="D5575">
        <v>15796</v>
      </c>
    </row>
    <row r="5576" spans="1:4" x14ac:dyDescent="0.25">
      <c r="A5576" t="str">
        <f>T("   230910")</f>
        <v xml:space="preserve">   230910</v>
      </c>
      <c r="B5576" t="str">
        <f>T("   Aliments pour chiens ou chats, conditionnés pour la vente au détail")</f>
        <v xml:space="preserve">   Aliments pour chiens ou chats, conditionnés pour la vente au détail</v>
      </c>
      <c r="C5576">
        <v>465593</v>
      </c>
      <c r="D5576">
        <v>814</v>
      </c>
    </row>
    <row r="5577" spans="1:4" x14ac:dyDescent="0.25">
      <c r="A5577" t="str">
        <f>T("   250840")</f>
        <v xml:space="preserve">   250840</v>
      </c>
      <c r="B5577" t="str">
        <f>T("   Argiles (à l'excl. des argiles réfractaires ou expansées ainsi que du kaolin et des autres argiles kaoliniques)")</f>
        <v xml:space="preserve">   Argiles (à l'excl. des argiles réfractaires ou expansées ainsi que du kaolin et des autres argiles kaoliniques)</v>
      </c>
      <c r="C5577">
        <v>1304705</v>
      </c>
      <c r="D5577">
        <v>593</v>
      </c>
    </row>
    <row r="5578" spans="1:4" x14ac:dyDescent="0.25">
      <c r="A5578" t="str">
        <f>T("   251110")</f>
        <v xml:space="preserve">   251110</v>
      </c>
      <c r="B5578" t="str">
        <f>T("   Sulfate de baryum naturel [barytine]")</f>
        <v xml:space="preserve">   Sulfate de baryum naturel [barytine]</v>
      </c>
      <c r="C5578">
        <v>1566433</v>
      </c>
      <c r="D5578">
        <v>2020</v>
      </c>
    </row>
    <row r="5579" spans="1:4" x14ac:dyDescent="0.25">
      <c r="A5579" t="str">
        <f>T("   270750")</f>
        <v xml:space="preserve">   270750</v>
      </c>
      <c r="B5579"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5579">
        <v>28082958</v>
      </c>
      <c r="D5579">
        <v>26835</v>
      </c>
    </row>
    <row r="5580" spans="1:4" x14ac:dyDescent="0.25">
      <c r="A5580" t="str">
        <f>T("   271011")</f>
        <v xml:space="preserve">   271011</v>
      </c>
      <c r="B558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5580">
        <v>644417714</v>
      </c>
      <c r="D5580">
        <v>1451870</v>
      </c>
    </row>
    <row r="5581" spans="1:4" x14ac:dyDescent="0.25">
      <c r="A5581" t="str">
        <f>T("   271019")</f>
        <v xml:space="preserve">   271019</v>
      </c>
      <c r="B5581" t="str">
        <f>T("   Huiles moyennes et préparations, de pétrole ou de minéraux bitumineux, n.d.a.")</f>
        <v xml:space="preserve">   Huiles moyennes et préparations, de pétrole ou de minéraux bitumineux, n.d.a.</v>
      </c>
      <c r="C5581">
        <v>5944257295</v>
      </c>
      <c r="D5581">
        <v>18856586</v>
      </c>
    </row>
    <row r="5582" spans="1:4" x14ac:dyDescent="0.25">
      <c r="A5582" t="str">
        <f>T("   281420")</f>
        <v xml:space="preserve">   281420</v>
      </c>
      <c r="B5582" t="str">
        <f>T("   Ammoniac en solution aqueuse [ammoniaque]")</f>
        <v xml:space="preserve">   Ammoniac en solution aqueuse [ammoniaque]</v>
      </c>
      <c r="C5582">
        <v>546415</v>
      </c>
      <c r="D5582">
        <v>776</v>
      </c>
    </row>
    <row r="5583" spans="1:4" x14ac:dyDescent="0.25">
      <c r="A5583" t="str">
        <f>T("   281512")</f>
        <v xml:space="preserve">   281512</v>
      </c>
      <c r="B5583" t="str">
        <f>T("   Hydroxyde de sodium en solution aqueuse [lessive de soude caustique]")</f>
        <v xml:space="preserve">   Hydroxyde de sodium en solution aqueuse [lessive de soude caustique]</v>
      </c>
      <c r="C5583">
        <v>13380014</v>
      </c>
      <c r="D5583">
        <v>81324</v>
      </c>
    </row>
    <row r="5584" spans="1:4" x14ac:dyDescent="0.25">
      <c r="A5584" t="str">
        <f>T("   282110")</f>
        <v xml:space="preserve">   282110</v>
      </c>
      <c r="B5584" t="str">
        <f>T("   Oxydes et hydroxydes de fer")</f>
        <v xml:space="preserve">   Oxydes et hydroxydes de fer</v>
      </c>
      <c r="C5584">
        <v>1954105</v>
      </c>
      <c r="D5584">
        <v>1008</v>
      </c>
    </row>
    <row r="5585" spans="1:4" x14ac:dyDescent="0.25">
      <c r="A5585" t="str">
        <f>T("   283327")</f>
        <v xml:space="preserve">   283327</v>
      </c>
      <c r="B5585" t="str">
        <f>T("   SULFATE DE BARYUM")</f>
        <v xml:space="preserve">   SULFATE DE BARYUM</v>
      </c>
      <c r="C5585">
        <v>814047</v>
      </c>
      <c r="D5585">
        <v>1210</v>
      </c>
    </row>
    <row r="5586" spans="1:4" x14ac:dyDescent="0.25">
      <c r="A5586" t="str">
        <f>T("   290230")</f>
        <v xml:space="preserve">   290230</v>
      </c>
      <c r="B5586" t="str">
        <f>T("   Toluène")</f>
        <v xml:space="preserve">   Toluène</v>
      </c>
      <c r="C5586">
        <v>44878815</v>
      </c>
      <c r="D5586">
        <v>29952</v>
      </c>
    </row>
    <row r="5587" spans="1:4" x14ac:dyDescent="0.25">
      <c r="A5587" t="str">
        <f>T("   290244")</f>
        <v xml:space="preserve">   290244</v>
      </c>
      <c r="B5587" t="str">
        <f>T("   Isomères du xylène en mélange")</f>
        <v xml:space="preserve">   Isomères du xylène en mélange</v>
      </c>
      <c r="C5587">
        <v>1723863</v>
      </c>
      <c r="D5587">
        <v>1520</v>
      </c>
    </row>
    <row r="5588" spans="1:4" x14ac:dyDescent="0.25">
      <c r="A5588" t="str">
        <f>T("   290312")</f>
        <v xml:space="preserve">   290312</v>
      </c>
      <c r="B5588" t="str">
        <f>T("   Dichlorométhane [chlorure de méthylène]")</f>
        <v xml:space="preserve">   Dichlorométhane [chlorure de méthylène]</v>
      </c>
      <c r="C5588">
        <v>1408346</v>
      </c>
      <c r="D5588">
        <v>4050</v>
      </c>
    </row>
    <row r="5589" spans="1:4" x14ac:dyDescent="0.25">
      <c r="A5589" t="str">
        <f>T("   290512")</f>
        <v xml:space="preserve">   290512</v>
      </c>
      <c r="B5589" t="str">
        <f>T("   Propane-1-ol [alcool propylique] et propane-2-ol [alcool isopropylique]")</f>
        <v xml:space="preserve">   Propane-1-ol [alcool propylique] et propane-2-ol [alcool isopropylique]</v>
      </c>
      <c r="C5589">
        <v>2908527</v>
      </c>
      <c r="D5589">
        <v>2418</v>
      </c>
    </row>
    <row r="5590" spans="1:4" x14ac:dyDescent="0.25">
      <c r="A5590" t="str">
        <f>T("   290513")</f>
        <v xml:space="preserve">   290513</v>
      </c>
      <c r="B5590" t="str">
        <f>T("   Butane-1-ol [alcool n-butylique]")</f>
        <v xml:space="preserve">   Butane-1-ol [alcool n-butylique]</v>
      </c>
      <c r="C5590">
        <v>1334878</v>
      </c>
      <c r="D5590">
        <v>1062</v>
      </c>
    </row>
    <row r="5591" spans="1:4" x14ac:dyDescent="0.25">
      <c r="A5591" t="str">
        <f>T("   290949")</f>
        <v xml:space="preserve">   290949</v>
      </c>
      <c r="B5591" t="str">
        <f>T("   ÉTHERS-ALCOOLS ET LEURS DÉRIVÉS HALOGÉNÉS, SULFONÉS, NITRÉS OU NITROSÉS (À L'EXCL. DU 2,2'-OXYDIÉTHANOL [DIÉTHYLÈNE-GLYCOL] AINSI QUE DES ÉTHERS MONOALKYLIQUES DE L'ÉTHYLÈNE-GLYCOL OU DU DIÉTHYLÈNE-GLYCOL)")</f>
        <v xml:space="preserve">   ÉTHERS-ALCOOLS ET LEURS DÉRIVÉS HALOGÉNÉS, SULFONÉS, NITRÉS OU NITROSÉS (À L'EXCL. DU 2,2'-OXYDIÉTHANOL [DIÉTHYLÈNE-GLYCOL] AINSI QUE DES ÉTHERS MONOALKYLIQUES DE L'ÉTHYLÈNE-GLYCOL OU DU DIÉTHYLÈNE-GLYCOL)</v>
      </c>
      <c r="C5591">
        <v>1185320</v>
      </c>
      <c r="D5591">
        <v>808</v>
      </c>
    </row>
    <row r="5592" spans="1:4" x14ac:dyDescent="0.25">
      <c r="A5592" t="str">
        <f>T("   291413")</f>
        <v xml:space="preserve">   291413</v>
      </c>
      <c r="B5592" t="str">
        <f>T("   4-Méthylpentane-2-one [méthylisobutylcétone]")</f>
        <v xml:space="preserve">   4-Méthylpentane-2-one [méthylisobutylcétone]</v>
      </c>
      <c r="C5592">
        <v>10227729</v>
      </c>
      <c r="D5592">
        <v>15675</v>
      </c>
    </row>
    <row r="5593" spans="1:4" x14ac:dyDescent="0.25">
      <c r="A5593" t="str">
        <f>T("   291440")</f>
        <v xml:space="preserve">   291440</v>
      </c>
      <c r="B5593" t="str">
        <f>T("   Cétones-alcools et cétones-aldéhydes")</f>
        <v xml:space="preserve">   Cétones-alcools et cétones-aldéhydes</v>
      </c>
      <c r="C5593">
        <v>6306400</v>
      </c>
      <c r="D5593">
        <v>4081</v>
      </c>
    </row>
    <row r="5594" spans="1:4" x14ac:dyDescent="0.25">
      <c r="A5594" t="str">
        <f>T("   291531")</f>
        <v xml:space="preserve">   291531</v>
      </c>
      <c r="B5594" t="str">
        <f>T("   Acétate d'éthyle")</f>
        <v xml:space="preserve">   Acétate d'éthyle</v>
      </c>
      <c r="C5594">
        <v>9830872</v>
      </c>
      <c r="D5594">
        <v>4444</v>
      </c>
    </row>
    <row r="5595" spans="1:4" x14ac:dyDescent="0.25">
      <c r="A5595" t="str">
        <f>T("   291533")</f>
        <v xml:space="preserve">   291533</v>
      </c>
      <c r="B5595" t="str">
        <f>T("   Acétate de n-butyle")</f>
        <v xml:space="preserve">   Acétate de n-butyle</v>
      </c>
      <c r="C5595">
        <v>1819633</v>
      </c>
      <c r="D5595">
        <v>1536</v>
      </c>
    </row>
    <row r="5596" spans="1:4" x14ac:dyDescent="0.25">
      <c r="A5596" t="str">
        <f>T("   291536")</f>
        <v xml:space="preserve">   291536</v>
      </c>
      <c r="B5596" t="str">
        <f>T("   ACÉTATE DE DINOSÈBE [ISO]")</f>
        <v xml:space="preserve">   ACÉTATE DE DINOSÈBE [ISO]</v>
      </c>
      <c r="C5596">
        <v>3616308</v>
      </c>
      <c r="D5596">
        <v>2424</v>
      </c>
    </row>
    <row r="5597" spans="1:4" x14ac:dyDescent="0.25">
      <c r="A5597" t="str">
        <f>T("   292800")</f>
        <v xml:space="preserve">   292800</v>
      </c>
      <c r="B5597" t="str">
        <f>T("   Dérivés organiques de l'hydrazine ou de l'hydroxylamine")</f>
        <v xml:space="preserve">   Dérivés organiques de l'hydrazine ou de l'hydroxylamine</v>
      </c>
      <c r="C5597">
        <v>1825537</v>
      </c>
      <c r="D5597">
        <v>808</v>
      </c>
    </row>
    <row r="5598" spans="1:4" x14ac:dyDescent="0.25">
      <c r="A5598" t="str">
        <f>T("   292910")</f>
        <v xml:space="preserve">   292910</v>
      </c>
      <c r="B5598" t="str">
        <f>T("   Isocyanates")</f>
        <v xml:space="preserve">   Isocyanates</v>
      </c>
      <c r="C5598">
        <v>91768804</v>
      </c>
      <c r="D5598">
        <v>61940</v>
      </c>
    </row>
    <row r="5599" spans="1:4" x14ac:dyDescent="0.25">
      <c r="A5599" t="str">
        <f>T("   292990")</f>
        <v xml:space="preserve">   292990</v>
      </c>
      <c r="B5599" t="s">
        <v>73</v>
      </c>
      <c r="C5599">
        <v>32535616</v>
      </c>
      <c r="D5599">
        <v>20000</v>
      </c>
    </row>
    <row r="5600" spans="1:4" x14ac:dyDescent="0.25">
      <c r="A5600" t="str">
        <f>T("   300440")</f>
        <v xml:space="preserve">   300440</v>
      </c>
      <c r="B5600" t="s">
        <v>82</v>
      </c>
      <c r="C5600">
        <v>47625</v>
      </c>
      <c r="D5600">
        <v>2</v>
      </c>
    </row>
    <row r="5601" spans="1:4" x14ac:dyDescent="0.25">
      <c r="A5601" t="str">
        <f>T("   300450")</f>
        <v xml:space="preserve">   300450</v>
      </c>
      <c r="B5601" t="s">
        <v>83</v>
      </c>
      <c r="C5601">
        <v>9708208</v>
      </c>
      <c r="D5601">
        <v>3000</v>
      </c>
    </row>
    <row r="5602" spans="1:4" x14ac:dyDescent="0.25">
      <c r="A5602" t="str">
        <f>T("   300490")</f>
        <v xml:space="preserve">   300490</v>
      </c>
      <c r="B5602" t="s">
        <v>84</v>
      </c>
      <c r="C5602">
        <v>22496514</v>
      </c>
      <c r="D5602">
        <v>16972</v>
      </c>
    </row>
    <row r="5603" spans="1:4" x14ac:dyDescent="0.25">
      <c r="A5603" t="str">
        <f>T("   320414")</f>
        <v xml:space="preserve">   320414</v>
      </c>
      <c r="B5603" t="s">
        <v>94</v>
      </c>
      <c r="C5603">
        <v>1934426</v>
      </c>
      <c r="D5603">
        <v>242</v>
      </c>
    </row>
    <row r="5604" spans="1:4" x14ac:dyDescent="0.25">
      <c r="A5604" t="str">
        <f>T("   320417")</f>
        <v xml:space="preserve">   320417</v>
      </c>
      <c r="B5604" t="s">
        <v>96</v>
      </c>
      <c r="C5604">
        <v>1648428</v>
      </c>
      <c r="D5604">
        <v>117</v>
      </c>
    </row>
    <row r="5605" spans="1:4" x14ac:dyDescent="0.25">
      <c r="A5605" t="str">
        <f>T("   320620")</f>
        <v xml:space="preserve">   320620</v>
      </c>
      <c r="B5605" t="s">
        <v>99</v>
      </c>
      <c r="C5605">
        <v>4565482</v>
      </c>
      <c r="D5605">
        <v>1110</v>
      </c>
    </row>
    <row r="5606" spans="1:4" x14ac:dyDescent="0.25">
      <c r="A5606" t="str">
        <f>T("   321100")</f>
        <v xml:space="preserve">   321100</v>
      </c>
      <c r="B5606" t="str">
        <f>T("   Siccatifs préparés")</f>
        <v xml:space="preserve">   Siccatifs préparés</v>
      </c>
      <c r="C5606">
        <v>2295204</v>
      </c>
      <c r="D5606">
        <v>849</v>
      </c>
    </row>
    <row r="5607" spans="1:4" x14ac:dyDescent="0.25">
      <c r="A5607" t="str">
        <f>T("   321519")</f>
        <v xml:space="preserve">   321519</v>
      </c>
      <c r="B5607" t="str">
        <f>T("   Encres d'imprimerie, même concentrées ou sous formes solides (à l'excl. des encres noires)")</f>
        <v xml:space="preserve">   Encres d'imprimerie, même concentrées ou sous formes solides (à l'excl. des encres noires)</v>
      </c>
      <c r="C5607">
        <v>8119577</v>
      </c>
      <c r="D5607">
        <v>387</v>
      </c>
    </row>
    <row r="5608" spans="1:4" x14ac:dyDescent="0.25">
      <c r="A5608" t="str">
        <f>T("   321590")</f>
        <v xml:space="preserve">   321590</v>
      </c>
      <c r="B5608" t="str">
        <f>T("   Encres à écrire et à dessiner, même concentrées ou sous formes solides")</f>
        <v xml:space="preserve">   Encres à écrire et à dessiner, même concentrées ou sous formes solides</v>
      </c>
      <c r="C5608">
        <v>4306129</v>
      </c>
      <c r="D5608">
        <v>83</v>
      </c>
    </row>
    <row r="5609" spans="1:4" x14ac:dyDescent="0.25">
      <c r="A5609" t="str">
        <f>T("   330499")</f>
        <v xml:space="preserve">   330499</v>
      </c>
      <c r="B5609" t="s">
        <v>106</v>
      </c>
      <c r="C5609">
        <v>350316</v>
      </c>
      <c r="D5609">
        <v>563</v>
      </c>
    </row>
    <row r="5610" spans="1:4" x14ac:dyDescent="0.25">
      <c r="A5610" t="str">
        <f>T("   330590")</f>
        <v xml:space="preserve">   330590</v>
      </c>
      <c r="B5610"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5610">
        <v>424532</v>
      </c>
      <c r="D5610">
        <v>830</v>
      </c>
    </row>
    <row r="5611" spans="1:4" x14ac:dyDescent="0.25">
      <c r="A5611" t="str">
        <f>T("   340213")</f>
        <v xml:space="preserve">   340213</v>
      </c>
      <c r="B5611" t="str">
        <f>T("   Agents de surface organiques, non ioniques, même conditionnés pour la vente au détail (à l'excl. des savons)")</f>
        <v xml:space="preserve">   Agents de surface organiques, non ioniques, même conditionnés pour la vente au détail (à l'excl. des savons)</v>
      </c>
      <c r="C5611">
        <v>4554330</v>
      </c>
      <c r="D5611">
        <v>1814</v>
      </c>
    </row>
    <row r="5612" spans="1:4" x14ac:dyDescent="0.25">
      <c r="A5612" t="str">
        <f>T("   340290")</f>
        <v xml:space="preserve">   340290</v>
      </c>
      <c r="B5612" t="s">
        <v>110</v>
      </c>
      <c r="C5612">
        <v>390953</v>
      </c>
      <c r="D5612">
        <v>192</v>
      </c>
    </row>
    <row r="5613" spans="1:4" x14ac:dyDescent="0.25">
      <c r="A5613" t="str">
        <f>T("   370390")</f>
        <v xml:space="preserve">   370390</v>
      </c>
      <c r="B5613"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5613">
        <v>7646686</v>
      </c>
      <c r="D5613">
        <v>25426</v>
      </c>
    </row>
    <row r="5614" spans="1:4" x14ac:dyDescent="0.25">
      <c r="A5614" t="str">
        <f>T("   380840")</f>
        <v xml:space="preserve">   380840</v>
      </c>
      <c r="B5614"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614">
        <v>344941</v>
      </c>
      <c r="D5614">
        <v>748</v>
      </c>
    </row>
    <row r="5615" spans="1:4" x14ac:dyDescent="0.25">
      <c r="A5615" t="str">
        <f>T("   380850")</f>
        <v xml:space="preserve">   380850</v>
      </c>
      <c r="B5615" t="s">
        <v>125</v>
      </c>
      <c r="C5615">
        <v>15363240</v>
      </c>
      <c r="D5615">
        <v>6053</v>
      </c>
    </row>
    <row r="5616" spans="1:4" x14ac:dyDescent="0.25">
      <c r="A5616" t="str">
        <f>T("   380891")</f>
        <v xml:space="preserve">   380891</v>
      </c>
      <c r="B5616" t="str">
        <f>T("   INSECTICIDES (À L'EXCL. DES MARCHANDISES DU N° 3808.50)")</f>
        <v xml:space="preserve">   INSECTICIDES (À L'EXCL. DES MARCHANDISES DU N° 3808.50)</v>
      </c>
      <c r="C5616">
        <v>7095519</v>
      </c>
      <c r="D5616">
        <v>2618</v>
      </c>
    </row>
    <row r="5617" spans="1:4" x14ac:dyDescent="0.25">
      <c r="A5617" t="str">
        <f>T("   381190")</f>
        <v xml:space="preserve">   381190</v>
      </c>
      <c r="B5617" t="s">
        <v>131</v>
      </c>
      <c r="C5617">
        <v>12185769</v>
      </c>
      <c r="D5617">
        <v>2450</v>
      </c>
    </row>
    <row r="5618" spans="1:4" x14ac:dyDescent="0.25">
      <c r="A5618" t="str">
        <f>T("   381400")</f>
        <v xml:space="preserve">   381400</v>
      </c>
      <c r="B561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618">
        <v>46341018</v>
      </c>
      <c r="D5618">
        <v>182602</v>
      </c>
    </row>
    <row r="5619" spans="1:4" x14ac:dyDescent="0.25">
      <c r="A5619" t="str">
        <f>T("   382200")</f>
        <v xml:space="preserve">   382200</v>
      </c>
      <c r="B5619" t="s">
        <v>133</v>
      </c>
      <c r="C5619">
        <v>832807</v>
      </c>
      <c r="D5619">
        <v>45</v>
      </c>
    </row>
    <row r="5620" spans="1:4" x14ac:dyDescent="0.25">
      <c r="A5620" t="str">
        <f>T("   390390")</f>
        <v xml:space="preserve">   390390</v>
      </c>
      <c r="B5620"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5620">
        <v>4438225</v>
      </c>
      <c r="D5620">
        <v>2876</v>
      </c>
    </row>
    <row r="5621" spans="1:4" x14ac:dyDescent="0.25">
      <c r="A5621" t="str">
        <f>T("   390512")</f>
        <v xml:space="preserve">   390512</v>
      </c>
      <c r="B5621" t="str">
        <f>T("   Poly[acétate de vinyle], en dispersion aqueuse")</f>
        <v xml:space="preserve">   Poly[acétate de vinyle], en dispersion aqueuse</v>
      </c>
      <c r="C5621">
        <v>692694</v>
      </c>
      <c r="D5621">
        <v>62</v>
      </c>
    </row>
    <row r="5622" spans="1:4" x14ac:dyDescent="0.25">
      <c r="A5622" t="str">
        <f>T("   390690")</f>
        <v xml:space="preserve">   390690</v>
      </c>
      <c r="B5622" t="str">
        <f>T("   Polymères acryliques, sous formes primaires (à l'excl. du poly[méthacrylate de méthyle])")</f>
        <v xml:space="preserve">   Polymères acryliques, sous formes primaires (à l'excl. du poly[méthacrylate de méthyle])</v>
      </c>
      <c r="C5622">
        <v>1519859</v>
      </c>
      <c r="D5622">
        <v>1160</v>
      </c>
    </row>
    <row r="5623" spans="1:4" x14ac:dyDescent="0.25">
      <c r="A5623" t="str">
        <f>T("   390720")</f>
        <v xml:space="preserve">   390720</v>
      </c>
      <c r="B5623" t="str">
        <f>T("   Polyéthers, sous formes primaires (à l'excl. des polyacétals)")</f>
        <v xml:space="preserve">   Polyéthers, sous formes primaires (à l'excl. des polyacétals)</v>
      </c>
      <c r="C5623">
        <v>165739445</v>
      </c>
      <c r="D5623">
        <v>144220</v>
      </c>
    </row>
    <row r="5624" spans="1:4" x14ac:dyDescent="0.25">
      <c r="A5624" t="str">
        <f>T("   390730")</f>
        <v xml:space="preserve">   390730</v>
      </c>
      <c r="B5624" t="str">
        <f>T("   Résines époxydes, sous formes primaires")</f>
        <v xml:space="preserve">   Résines époxydes, sous formes primaires</v>
      </c>
      <c r="C5624">
        <v>1481814</v>
      </c>
      <c r="D5624">
        <v>465</v>
      </c>
    </row>
    <row r="5625" spans="1:4" x14ac:dyDescent="0.25">
      <c r="A5625" t="str">
        <f>T("   390750")</f>
        <v xml:space="preserve">   390750</v>
      </c>
      <c r="B5625" t="str">
        <f>T("   Résines alkydes, sous formes primaires")</f>
        <v xml:space="preserve">   Résines alkydes, sous formes primaires</v>
      </c>
      <c r="C5625">
        <v>71195711</v>
      </c>
      <c r="D5625">
        <v>68400</v>
      </c>
    </row>
    <row r="5626" spans="1:4" x14ac:dyDescent="0.25">
      <c r="A5626" t="str">
        <f>T("   390799")</f>
        <v xml:space="preserve">   390799</v>
      </c>
      <c r="B5626"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626">
        <v>13243618</v>
      </c>
      <c r="D5626">
        <v>9636</v>
      </c>
    </row>
    <row r="5627" spans="1:4" x14ac:dyDescent="0.25">
      <c r="A5627" t="str">
        <f>T("   391190")</f>
        <v xml:space="preserve">   391190</v>
      </c>
      <c r="B5627"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5627">
        <v>4890183</v>
      </c>
      <c r="D5627">
        <v>857</v>
      </c>
    </row>
    <row r="5628" spans="1:4" x14ac:dyDescent="0.25">
      <c r="A5628" t="str">
        <f>T("   392310")</f>
        <v xml:space="preserve">   392310</v>
      </c>
      <c r="B5628" t="str">
        <f>T("   Boîtes, caisses, casiers et articles simil. pour le transport ou l'emballage, en matières plastiques")</f>
        <v xml:space="preserve">   Boîtes, caisses, casiers et articles simil. pour le transport ou l'emballage, en matières plastiques</v>
      </c>
      <c r="C5628">
        <v>730615</v>
      </c>
      <c r="D5628">
        <v>404</v>
      </c>
    </row>
    <row r="5629" spans="1:4" x14ac:dyDescent="0.25">
      <c r="A5629" t="str">
        <f>T("   392390")</f>
        <v xml:space="preserve">   392390</v>
      </c>
      <c r="B5629" t="s">
        <v>156</v>
      </c>
      <c r="C5629">
        <v>1252706</v>
      </c>
      <c r="D5629">
        <v>2600</v>
      </c>
    </row>
    <row r="5630" spans="1:4" x14ac:dyDescent="0.25">
      <c r="A5630" t="str">
        <f>T("   392490")</f>
        <v xml:space="preserve">   392490</v>
      </c>
      <c r="B5630" t="s">
        <v>157</v>
      </c>
      <c r="C5630">
        <v>1000000</v>
      </c>
      <c r="D5630">
        <v>500</v>
      </c>
    </row>
    <row r="5631" spans="1:4" x14ac:dyDescent="0.25">
      <c r="A5631" t="str">
        <f>T("   392510")</f>
        <v xml:space="preserve">   392510</v>
      </c>
      <c r="B5631" t="str">
        <f>T("   Réservoirs, foudres, cuves et récipients analogues, en matières plastiques, d'une contenance &gt; 300 l")</f>
        <v xml:space="preserve">   Réservoirs, foudres, cuves et récipients analogues, en matières plastiques, d'une contenance &gt; 300 l</v>
      </c>
      <c r="C5631">
        <v>35674248</v>
      </c>
      <c r="D5631">
        <v>5149</v>
      </c>
    </row>
    <row r="5632" spans="1:4" x14ac:dyDescent="0.25">
      <c r="A5632" t="str">
        <f>T("   401110")</f>
        <v xml:space="preserve">   401110</v>
      </c>
      <c r="B5632"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5632">
        <v>18394575</v>
      </c>
      <c r="D5632">
        <v>3848</v>
      </c>
    </row>
    <row r="5633" spans="1:4" x14ac:dyDescent="0.25">
      <c r="A5633" t="str">
        <f>T("   401220")</f>
        <v xml:space="preserve">   401220</v>
      </c>
      <c r="B5633" t="str">
        <f>T("   Pneumatiques usagés, en caoutchouc")</f>
        <v xml:space="preserve">   Pneumatiques usagés, en caoutchouc</v>
      </c>
      <c r="C5633">
        <v>10859747</v>
      </c>
      <c r="D5633">
        <v>39494</v>
      </c>
    </row>
    <row r="5634" spans="1:4" x14ac:dyDescent="0.25">
      <c r="A5634" t="str">
        <f>T("   401290")</f>
        <v xml:space="preserve">   401290</v>
      </c>
      <c r="B5634" t="str">
        <f>T("   Bandages pleins ou creux [mi-pleins], bandes de roulement amovibles pour pneumatiques et flaps, en caoutchouc")</f>
        <v xml:space="preserve">   Bandages pleins ou creux [mi-pleins], bandes de roulement amovibles pour pneumatiques et flaps, en caoutchouc</v>
      </c>
      <c r="C5634">
        <v>53054</v>
      </c>
      <c r="D5634">
        <v>158</v>
      </c>
    </row>
    <row r="5635" spans="1:4" x14ac:dyDescent="0.25">
      <c r="A5635" t="str">
        <f>T("   401310")</f>
        <v xml:space="preserve">   401310</v>
      </c>
      <c r="B5635"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5635">
        <v>90641</v>
      </c>
      <c r="D5635">
        <v>268</v>
      </c>
    </row>
    <row r="5636" spans="1:4" x14ac:dyDescent="0.25">
      <c r="A5636" t="str">
        <f>T("   401410")</f>
        <v xml:space="preserve">   401410</v>
      </c>
      <c r="B5636" t="str">
        <f>T("   Préservatifs en caoutchouc vulcanisé non durci")</f>
        <v xml:space="preserve">   Préservatifs en caoutchouc vulcanisé non durci</v>
      </c>
      <c r="C5636">
        <v>6524509</v>
      </c>
      <c r="D5636">
        <v>1477</v>
      </c>
    </row>
    <row r="5637" spans="1:4" x14ac:dyDescent="0.25">
      <c r="A5637" t="str">
        <f>T("   401519")</f>
        <v xml:space="preserve">   401519</v>
      </c>
      <c r="B5637" t="str">
        <f>T("   GANTS, MITAINES ET MOUFLES, EN CAOUTCHOUC VULCANISÉ NON-DURCI (À L'EXCL. DES GANTS POUR LA CHIRURGIE)")</f>
        <v xml:space="preserve">   GANTS, MITAINES ET MOUFLES, EN CAOUTCHOUC VULCANISÉ NON-DURCI (À L'EXCL. DES GANTS POUR LA CHIRURGIE)</v>
      </c>
      <c r="C5637">
        <v>165223</v>
      </c>
      <c r="D5637">
        <v>93</v>
      </c>
    </row>
    <row r="5638" spans="1:4" x14ac:dyDescent="0.25">
      <c r="A5638" t="str">
        <f>T("   420219")</f>
        <v xml:space="preserve">   420219</v>
      </c>
      <c r="B5638" t="s">
        <v>171</v>
      </c>
      <c r="C5638">
        <v>2100023</v>
      </c>
      <c r="D5638">
        <v>2450</v>
      </c>
    </row>
    <row r="5639" spans="1:4" x14ac:dyDescent="0.25">
      <c r="A5639" t="str">
        <f>T("   420229")</f>
        <v xml:space="preserve">   420229</v>
      </c>
      <c r="B563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639">
        <v>4439038</v>
      </c>
      <c r="D5639">
        <v>7565</v>
      </c>
    </row>
    <row r="5640" spans="1:4" x14ac:dyDescent="0.25">
      <c r="A5640" t="str">
        <f>T("   420299")</f>
        <v xml:space="preserve">   420299</v>
      </c>
      <c r="B5640" t="s">
        <v>174</v>
      </c>
      <c r="C5640">
        <v>266428</v>
      </c>
      <c r="D5640">
        <v>2500</v>
      </c>
    </row>
    <row r="5641" spans="1:4" x14ac:dyDescent="0.25">
      <c r="A5641" t="str">
        <f>T("   480431")</f>
        <v xml:space="preserve">   480431</v>
      </c>
      <c r="B5641" t="s">
        <v>212</v>
      </c>
      <c r="C5641">
        <v>2697308</v>
      </c>
      <c r="D5641">
        <v>4624</v>
      </c>
    </row>
    <row r="5642" spans="1:4" x14ac:dyDescent="0.25">
      <c r="A5642" t="str">
        <f>T("   481810")</f>
        <v xml:space="preserve">   481810</v>
      </c>
      <c r="B5642" t="str">
        <f>T("   Papier hygiénique, en rouleaux d'une largeur &lt;= 36 cm")</f>
        <v xml:space="preserve">   Papier hygiénique, en rouleaux d'une largeur &lt;= 36 cm</v>
      </c>
      <c r="C5642">
        <v>590421</v>
      </c>
      <c r="D5642">
        <v>794</v>
      </c>
    </row>
    <row r="5643" spans="1:4" x14ac:dyDescent="0.25">
      <c r="A5643" t="str">
        <f>T("   481820")</f>
        <v xml:space="preserve">   481820</v>
      </c>
      <c r="B5643"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5643">
        <v>3549081</v>
      </c>
      <c r="D5643">
        <v>6515</v>
      </c>
    </row>
    <row r="5644" spans="1:4" x14ac:dyDescent="0.25">
      <c r="A5644" t="str">
        <f>T("   481840")</f>
        <v xml:space="preserve">   481840</v>
      </c>
      <c r="B564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5644">
        <v>81995</v>
      </c>
      <c r="D5644">
        <v>18</v>
      </c>
    </row>
    <row r="5645" spans="1:4" x14ac:dyDescent="0.25">
      <c r="A5645" t="str">
        <f>T("   481910")</f>
        <v xml:space="preserve">   481910</v>
      </c>
      <c r="B5645" t="str">
        <f>T("   Boîtes et caisses en papier ou en carton ondulé")</f>
        <v xml:space="preserve">   Boîtes et caisses en papier ou en carton ondulé</v>
      </c>
      <c r="C5645">
        <v>121353</v>
      </c>
      <c r="D5645">
        <v>131</v>
      </c>
    </row>
    <row r="5646" spans="1:4" x14ac:dyDescent="0.25">
      <c r="A5646" t="str">
        <f>T("   482010")</f>
        <v xml:space="preserve">   482010</v>
      </c>
      <c r="B5646"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5646">
        <v>13926690</v>
      </c>
      <c r="D5646">
        <v>516</v>
      </c>
    </row>
    <row r="5647" spans="1:4" x14ac:dyDescent="0.25">
      <c r="A5647" t="str">
        <f>T("   482320")</f>
        <v xml:space="preserve">   482320</v>
      </c>
      <c r="B5647"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5647">
        <v>57020</v>
      </c>
      <c r="D5647">
        <v>1</v>
      </c>
    </row>
    <row r="5648" spans="1:4" x14ac:dyDescent="0.25">
      <c r="A5648" t="str">
        <f>T("   490110")</f>
        <v xml:space="preserve">   490110</v>
      </c>
      <c r="B5648"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5648">
        <v>40130059</v>
      </c>
      <c r="D5648">
        <v>22502</v>
      </c>
    </row>
    <row r="5649" spans="1:4" x14ac:dyDescent="0.25">
      <c r="A5649" t="str">
        <f>T("   490199")</f>
        <v xml:space="preserve">   490199</v>
      </c>
      <c r="B564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649">
        <v>5088093</v>
      </c>
      <c r="D5649">
        <v>10730</v>
      </c>
    </row>
    <row r="5650" spans="1:4" x14ac:dyDescent="0.25">
      <c r="A5650" t="str">
        <f>T("   490400")</f>
        <v xml:space="preserve">   490400</v>
      </c>
      <c r="B5650" t="str">
        <f>T("   Musique manuscrite ou imprimée, illustrée ou non, même reliée")</f>
        <v xml:space="preserve">   Musique manuscrite ou imprimée, illustrée ou non, même reliée</v>
      </c>
      <c r="C5650">
        <v>1277699</v>
      </c>
      <c r="D5650">
        <v>702</v>
      </c>
    </row>
    <row r="5651" spans="1:4" x14ac:dyDescent="0.25">
      <c r="A5651" t="str">
        <f>T("   491000")</f>
        <v xml:space="preserve">   491000</v>
      </c>
      <c r="B5651" t="str">
        <f>T("   Calendriers de tous genres, imprimés, y.c. les blocs de calendriers à effeuiller")</f>
        <v xml:space="preserve">   Calendriers de tous genres, imprimés, y.c. les blocs de calendriers à effeuiller</v>
      </c>
      <c r="C5651">
        <v>1273934</v>
      </c>
      <c r="D5651">
        <v>615</v>
      </c>
    </row>
    <row r="5652" spans="1:4" x14ac:dyDescent="0.25">
      <c r="A5652" t="str">
        <f>T("   491199")</f>
        <v xml:space="preserve">   491199</v>
      </c>
      <c r="B5652" t="str">
        <f>T("   Imprimés, n.d.a.")</f>
        <v xml:space="preserve">   Imprimés, n.d.a.</v>
      </c>
      <c r="C5652">
        <v>102621190</v>
      </c>
      <c r="D5652">
        <v>13646</v>
      </c>
    </row>
    <row r="5653" spans="1:4" x14ac:dyDescent="0.25">
      <c r="A5653" t="str">
        <f>T("   520420")</f>
        <v xml:space="preserve">   520420</v>
      </c>
      <c r="B5653" t="str">
        <f>T("   Fils à coudre de coton, conditionnés pour la vente au détail")</f>
        <v xml:space="preserve">   Fils à coudre de coton, conditionnés pour la vente au détail</v>
      </c>
      <c r="C5653">
        <v>710621</v>
      </c>
      <c r="D5653">
        <v>450</v>
      </c>
    </row>
    <row r="5654" spans="1:4" x14ac:dyDescent="0.25">
      <c r="A5654" t="str">
        <f>T("   520819")</f>
        <v xml:space="preserve">   520819</v>
      </c>
      <c r="B5654"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5654">
        <v>60642846</v>
      </c>
      <c r="D5654">
        <v>20610</v>
      </c>
    </row>
    <row r="5655" spans="1:4" x14ac:dyDescent="0.25">
      <c r="A5655" t="str">
        <f>T("   520852")</f>
        <v xml:space="preserve">   520852</v>
      </c>
      <c r="B5655" t="str">
        <f>T("   Tissus de coton, imprimés, à armure toile, contenant &gt;= 85% en poids de coton, d'un poids &gt; 100 g/m² mais &lt;= 200 g/m²")</f>
        <v xml:space="preserve">   Tissus de coton, imprimés, à armure toile, contenant &gt;= 85% en poids de coton, d'un poids &gt; 100 g/m² mais &lt;= 200 g/m²</v>
      </c>
      <c r="C5655">
        <v>229586</v>
      </c>
      <c r="D5655">
        <v>100</v>
      </c>
    </row>
    <row r="5656" spans="1:4" x14ac:dyDescent="0.25">
      <c r="A5656" t="str">
        <f>T("   531090")</f>
        <v xml:space="preserve">   531090</v>
      </c>
      <c r="B5656"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5656">
        <v>67958759</v>
      </c>
      <c r="D5656">
        <v>3264</v>
      </c>
    </row>
    <row r="5657" spans="1:4" x14ac:dyDescent="0.25">
      <c r="A5657" t="str">
        <f>T("   540720")</f>
        <v xml:space="preserve">   540720</v>
      </c>
      <c r="B5657" t="str">
        <f>T("   TISSUS OBTENUS À PARTIR DE LAMES OU FORMES SIMIL., Y.C. CELLES DU N° 5404 [01/01/1988-31/12/1988: TISSUS DE LAMES OU FORMES SIMILAIRES DU 5404]")</f>
        <v xml:space="preserve">   TISSUS OBTENUS À PARTIR DE LAMES OU FORMES SIMIL., Y.C. CELLES DU N° 5404 [01/01/1988-31/12/1988: TISSUS DE LAMES OU FORMES SIMILAIRES DU 5404]</v>
      </c>
      <c r="C5657">
        <v>48890650</v>
      </c>
      <c r="D5657">
        <v>2220</v>
      </c>
    </row>
    <row r="5658" spans="1:4" x14ac:dyDescent="0.25">
      <c r="A5658" t="str">
        <f>T("   540769")</f>
        <v xml:space="preserve">   540769</v>
      </c>
      <c r="B5658"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5658">
        <v>9903629</v>
      </c>
      <c r="D5658">
        <v>595</v>
      </c>
    </row>
    <row r="5659" spans="1:4" x14ac:dyDescent="0.25">
      <c r="A5659" t="str">
        <f>T("   570190")</f>
        <v xml:space="preserve">   570190</v>
      </c>
      <c r="B5659"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5659">
        <v>30000</v>
      </c>
      <c r="D5659">
        <v>30</v>
      </c>
    </row>
    <row r="5660" spans="1:4" x14ac:dyDescent="0.25">
      <c r="A5660" t="str">
        <f>T("   610190")</f>
        <v xml:space="preserve">   610190</v>
      </c>
      <c r="B5660" t="s">
        <v>278</v>
      </c>
      <c r="C5660">
        <v>8738400</v>
      </c>
      <c r="D5660">
        <v>15888</v>
      </c>
    </row>
    <row r="5661" spans="1:4" x14ac:dyDescent="0.25">
      <c r="A5661" t="str">
        <f>T("   610310")</f>
        <v xml:space="preserve">   610310</v>
      </c>
      <c r="B5661" t="str">
        <f>T("   COSTUMES OU COMPLETS EN BONNETERIE, DE MATIÈRES TEXTILES, POUR HOMMES OU GARÇONNETS (SAUF SURVÊTEMENTS DE SPORT 'TRAININGS', COMBINAISONS ET ENSEMBLES DE SKI, MAILLOTS, CULOTTES ET SLIPS DE BAIN)")</f>
        <v xml:space="preserve">   COSTUMES OU COMPLETS EN BONNETERIE, DE MATIÈRES TEXTILES, POUR HOMMES OU GARÇONNETS (SAUF SURVÊTEMENTS DE SPORT 'TRAININGS', COMBINAISONS ET ENSEMBLES DE SKI, MAILLOTS, CULOTTES ET SLIPS DE BAIN)</v>
      </c>
      <c r="C5661">
        <v>70000</v>
      </c>
      <c r="D5661">
        <v>342</v>
      </c>
    </row>
    <row r="5662" spans="1:4" x14ac:dyDescent="0.25">
      <c r="A5662" t="str">
        <f>T("   610329")</f>
        <v xml:space="preserve">   610329</v>
      </c>
      <c r="B5662"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5662">
        <v>1122300</v>
      </c>
      <c r="D5662">
        <v>2100</v>
      </c>
    </row>
    <row r="5663" spans="1:4" x14ac:dyDescent="0.25">
      <c r="A5663" t="str">
        <f>T("   610590")</f>
        <v xml:space="preserve">   610590</v>
      </c>
      <c r="B566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5663">
        <v>100000</v>
      </c>
      <c r="D5663">
        <v>140</v>
      </c>
    </row>
    <row r="5664" spans="1:4" x14ac:dyDescent="0.25">
      <c r="A5664" t="str">
        <f>T("   610990")</f>
        <v xml:space="preserve">   610990</v>
      </c>
      <c r="B5664" t="str">
        <f>T("   T-shirts et maillots de corps, en bonneterie, de matières textiles (sauf de coton)")</f>
        <v xml:space="preserve">   T-shirts et maillots de corps, en bonneterie, de matières textiles (sauf de coton)</v>
      </c>
      <c r="C5664">
        <v>63297</v>
      </c>
      <c r="D5664">
        <v>103</v>
      </c>
    </row>
    <row r="5665" spans="1:4" x14ac:dyDescent="0.25">
      <c r="A5665" t="str">
        <f>T("   620319")</f>
        <v xml:space="preserve">   620319</v>
      </c>
      <c r="B5665" t="s">
        <v>288</v>
      </c>
      <c r="C5665">
        <v>80000</v>
      </c>
      <c r="D5665">
        <v>342</v>
      </c>
    </row>
    <row r="5666" spans="1:4" x14ac:dyDescent="0.25">
      <c r="A5666" t="str">
        <f>T("   620349")</f>
        <v xml:space="preserve">   620349</v>
      </c>
      <c r="B5666" t="s">
        <v>289</v>
      </c>
      <c r="C5666">
        <v>1503819</v>
      </c>
      <c r="D5666">
        <v>2110</v>
      </c>
    </row>
    <row r="5667" spans="1:4" x14ac:dyDescent="0.25">
      <c r="A5667" t="str">
        <f>T("   620590")</f>
        <v xml:space="preserve">   620590</v>
      </c>
      <c r="B566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667">
        <v>370687</v>
      </c>
      <c r="D5667">
        <v>252</v>
      </c>
    </row>
    <row r="5668" spans="1:4" x14ac:dyDescent="0.25">
      <c r="A5668" t="str">
        <f>T("   621040")</f>
        <v xml:space="preserve">   621040</v>
      </c>
      <c r="B5668" t="s">
        <v>294</v>
      </c>
      <c r="C5668">
        <v>357896</v>
      </c>
      <c r="D5668">
        <v>4000</v>
      </c>
    </row>
    <row r="5669" spans="1:4" x14ac:dyDescent="0.25">
      <c r="A5669" t="str">
        <f>T("   621050")</f>
        <v xml:space="preserve">   621050</v>
      </c>
      <c r="B5669" t="s">
        <v>295</v>
      </c>
      <c r="C5669">
        <v>909434</v>
      </c>
      <c r="D5669">
        <v>123</v>
      </c>
    </row>
    <row r="5670" spans="1:4" x14ac:dyDescent="0.25">
      <c r="A5670" t="str">
        <f>T("   630312")</f>
        <v xml:space="preserve">   630312</v>
      </c>
      <c r="B5670" t="str">
        <f>T("   Vitrages, rideaux et stores d'intérieur ainsi que cantonnières et tours de lit, en bonneterie, de fibres synthétiques (autres que stores d'extérieur)")</f>
        <v xml:space="preserve">   Vitrages, rideaux et stores d'intérieur ainsi que cantonnières et tours de lit, en bonneterie, de fibres synthétiques (autres que stores d'extérieur)</v>
      </c>
      <c r="C5670">
        <v>50000</v>
      </c>
      <c r="D5670">
        <v>500</v>
      </c>
    </row>
    <row r="5671" spans="1:4" x14ac:dyDescent="0.25">
      <c r="A5671" t="str">
        <f>T("   630539")</f>
        <v xml:space="preserve">   630539</v>
      </c>
      <c r="B5671"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5671">
        <v>109230</v>
      </c>
      <c r="D5671">
        <v>300</v>
      </c>
    </row>
    <row r="5672" spans="1:4" x14ac:dyDescent="0.25">
      <c r="A5672" t="str">
        <f>T("   630710")</f>
        <v xml:space="preserve">   630710</v>
      </c>
      <c r="B5672" t="str">
        <f>T("   Serpillières ou wassingues, lavettes, chamoisettes et articles d'entretien simil. en tous types de matières textiles")</f>
        <v xml:space="preserve">   Serpillières ou wassingues, lavettes, chamoisettes et articles d'entretien simil. en tous types de matières textiles</v>
      </c>
      <c r="C5672">
        <v>52601</v>
      </c>
      <c r="D5672">
        <v>30</v>
      </c>
    </row>
    <row r="5673" spans="1:4" x14ac:dyDescent="0.25">
      <c r="A5673" t="str">
        <f>T("   630790")</f>
        <v xml:space="preserve">   630790</v>
      </c>
      <c r="B5673" t="str">
        <f>T("   Articles de matières textiles, confectionnés, y.c. les patrons de vêtements n.d.a.")</f>
        <v xml:space="preserve">   Articles de matières textiles, confectionnés, y.c. les patrons de vêtements n.d.a.</v>
      </c>
      <c r="C5673">
        <v>6554352</v>
      </c>
      <c r="D5673">
        <v>21400</v>
      </c>
    </row>
    <row r="5674" spans="1:4" x14ac:dyDescent="0.25">
      <c r="A5674" t="str">
        <f>T("   630900")</f>
        <v xml:space="preserve">   630900</v>
      </c>
      <c r="B5674" t="s">
        <v>300</v>
      </c>
      <c r="C5674">
        <v>9983213511</v>
      </c>
      <c r="D5674">
        <v>16628358</v>
      </c>
    </row>
    <row r="5675" spans="1:4" x14ac:dyDescent="0.25">
      <c r="A5675" t="str">
        <f>T("   640219")</f>
        <v xml:space="preserve">   640219</v>
      </c>
      <c r="B5675" t="s">
        <v>303</v>
      </c>
      <c r="C5675">
        <v>2260995</v>
      </c>
      <c r="D5675">
        <v>3100</v>
      </c>
    </row>
    <row r="5676" spans="1:4" x14ac:dyDescent="0.25">
      <c r="A5676" t="str">
        <f>T("   640299")</f>
        <v xml:space="preserve">   640299</v>
      </c>
      <c r="B5676" t="s">
        <v>305</v>
      </c>
      <c r="C5676">
        <v>133000000</v>
      </c>
      <c r="D5676">
        <v>190000</v>
      </c>
    </row>
    <row r="5677" spans="1:4" x14ac:dyDescent="0.25">
      <c r="A5677" t="str">
        <f>T("   640590")</f>
        <v xml:space="preserve">   640590</v>
      </c>
      <c r="B5677" t="s">
        <v>311</v>
      </c>
      <c r="C5677">
        <v>13739737</v>
      </c>
      <c r="D5677">
        <v>12650</v>
      </c>
    </row>
    <row r="5678" spans="1:4" x14ac:dyDescent="0.25">
      <c r="A5678" t="str">
        <f>T("   660199")</f>
        <v xml:space="preserve">   660199</v>
      </c>
      <c r="B5678"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5678">
        <v>4512013</v>
      </c>
      <c r="D5678">
        <v>699</v>
      </c>
    </row>
    <row r="5679" spans="1:4" x14ac:dyDescent="0.25">
      <c r="A5679" t="str">
        <f>T("   680520")</f>
        <v xml:space="preserve">   680520</v>
      </c>
      <c r="B5679"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5679">
        <v>1701560</v>
      </c>
      <c r="D5679">
        <v>2360</v>
      </c>
    </row>
    <row r="5680" spans="1:4" x14ac:dyDescent="0.25">
      <c r="A5680" t="str">
        <f>T("   691200")</f>
        <v xml:space="preserve">   691200</v>
      </c>
      <c r="B5680" t="s">
        <v>342</v>
      </c>
      <c r="C5680">
        <v>437525</v>
      </c>
      <c r="D5680">
        <v>1500</v>
      </c>
    </row>
    <row r="5681" spans="1:4" x14ac:dyDescent="0.25">
      <c r="A5681" t="str">
        <f>T("   691310")</f>
        <v xml:space="preserve">   691310</v>
      </c>
      <c r="B5681" t="str">
        <f>T("   Statuettes et autres objets d'ornementation en porcelaine n.d.a.")</f>
        <v xml:space="preserve">   Statuettes et autres objets d'ornementation en porcelaine n.d.a.</v>
      </c>
      <c r="C5681">
        <v>546415</v>
      </c>
      <c r="D5681">
        <v>3500</v>
      </c>
    </row>
    <row r="5682" spans="1:4" x14ac:dyDescent="0.25">
      <c r="A5682" t="str">
        <f>T("   701690")</f>
        <v xml:space="preserve">   701690</v>
      </c>
      <c r="B5682" t="s">
        <v>356</v>
      </c>
      <c r="C5682">
        <v>2456803</v>
      </c>
      <c r="D5682">
        <v>78</v>
      </c>
    </row>
    <row r="5683" spans="1:4" x14ac:dyDescent="0.25">
      <c r="A5683" t="str">
        <f>T("   721399")</f>
        <v xml:space="preserve">   721399</v>
      </c>
      <c r="B5683" t="s">
        <v>365</v>
      </c>
      <c r="C5683">
        <v>906024146</v>
      </c>
      <c r="D5683">
        <v>2742840</v>
      </c>
    </row>
    <row r="5684" spans="1:4" x14ac:dyDescent="0.25">
      <c r="A5684" t="str">
        <f>T("   721420")</f>
        <v xml:space="preserve">   721420</v>
      </c>
      <c r="B568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5684">
        <v>18502877</v>
      </c>
      <c r="D5684">
        <v>51225</v>
      </c>
    </row>
    <row r="5685" spans="1:4" x14ac:dyDescent="0.25">
      <c r="A5685" t="str">
        <f>T("   730719")</f>
        <v xml:space="preserve">   730719</v>
      </c>
      <c r="B5685" t="str">
        <f>T("   Accessoires de tuyauterie moulés en fonte, fer ou acier (sauf fonte non-malléable)")</f>
        <v xml:space="preserve">   Accessoires de tuyauterie moulés en fonte, fer ou acier (sauf fonte non-malléable)</v>
      </c>
      <c r="C5685">
        <v>1023143</v>
      </c>
      <c r="D5685">
        <v>2</v>
      </c>
    </row>
    <row r="5686" spans="1:4" x14ac:dyDescent="0.25">
      <c r="A5686" t="str">
        <f>T("   730820")</f>
        <v xml:space="preserve">   730820</v>
      </c>
      <c r="B5686" t="str">
        <f>T("   Tours et pylônes, en fer ou en acier")</f>
        <v xml:space="preserve">   Tours et pylônes, en fer ou en acier</v>
      </c>
      <c r="C5686">
        <v>8646716</v>
      </c>
      <c r="D5686">
        <v>1130</v>
      </c>
    </row>
    <row r="5687" spans="1:4" x14ac:dyDescent="0.25">
      <c r="A5687" t="str">
        <f>T("   731290")</f>
        <v xml:space="preserve">   731290</v>
      </c>
      <c r="B5687" t="str">
        <f>T("   Tresses, élingues et simil., en fer ou en acier (sauf produits isolés pour l'électricité)")</f>
        <v xml:space="preserve">   Tresses, élingues et simil., en fer ou en acier (sauf produits isolés pour l'électricité)</v>
      </c>
      <c r="C5687">
        <v>660544</v>
      </c>
      <c r="D5687">
        <v>44</v>
      </c>
    </row>
    <row r="5688" spans="1:4" x14ac:dyDescent="0.25">
      <c r="A5688" t="str">
        <f>T("   732111")</f>
        <v xml:space="preserve">   732111</v>
      </c>
      <c r="B5688" t="s">
        <v>382</v>
      </c>
      <c r="C5688">
        <v>15000</v>
      </c>
      <c r="D5688">
        <v>15</v>
      </c>
    </row>
    <row r="5689" spans="1:4" x14ac:dyDescent="0.25">
      <c r="A5689" t="str">
        <f>T("   732290")</f>
        <v xml:space="preserve">   732290</v>
      </c>
      <c r="B5689" t="s">
        <v>385</v>
      </c>
      <c r="C5689">
        <v>2208160</v>
      </c>
      <c r="D5689">
        <v>1</v>
      </c>
    </row>
    <row r="5690" spans="1:4" x14ac:dyDescent="0.25">
      <c r="A5690" t="str">
        <f>T("   732393")</f>
        <v xml:space="preserve">   732393</v>
      </c>
      <c r="B5690" t="s">
        <v>388</v>
      </c>
      <c r="C5690">
        <v>19534</v>
      </c>
      <c r="D5690">
        <v>12</v>
      </c>
    </row>
    <row r="5691" spans="1:4" x14ac:dyDescent="0.25">
      <c r="A5691" t="str">
        <f>T("   732399")</f>
        <v xml:space="preserve">   732399</v>
      </c>
      <c r="B5691" t="s">
        <v>390</v>
      </c>
      <c r="C5691">
        <v>17462837</v>
      </c>
      <c r="D5691">
        <v>57170</v>
      </c>
    </row>
    <row r="5692" spans="1:4" x14ac:dyDescent="0.25">
      <c r="A5692" t="str">
        <f>T("   741819")</f>
        <v xml:space="preserve">   741819</v>
      </c>
      <c r="B5692" t="s">
        <v>393</v>
      </c>
      <c r="C5692">
        <v>1580000</v>
      </c>
      <c r="D5692">
        <v>200</v>
      </c>
    </row>
    <row r="5693" spans="1:4" x14ac:dyDescent="0.25">
      <c r="A5693" t="str">
        <f>T("   750712")</f>
        <v xml:space="preserve">   750712</v>
      </c>
      <c r="B5693" t="str">
        <f>T("   Tubes et tuyaux en alliages de nickel")</f>
        <v xml:space="preserve">   Tubes et tuyaux en alliages de nickel</v>
      </c>
      <c r="C5693">
        <v>486350</v>
      </c>
      <c r="D5693">
        <v>16</v>
      </c>
    </row>
    <row r="5694" spans="1:4" x14ac:dyDescent="0.25">
      <c r="A5694" t="str">
        <f>T("   820559")</f>
        <v xml:space="preserve">   820559</v>
      </c>
      <c r="B5694" t="str">
        <f>T("   Outils à main, y.c. -les diamants de vitrier-, en métaux communs, n.d.a.")</f>
        <v xml:space="preserve">   Outils à main, y.c. -les diamants de vitrier-, en métaux communs, n.d.a.</v>
      </c>
      <c r="C5694">
        <v>7756576</v>
      </c>
      <c r="D5694">
        <v>161</v>
      </c>
    </row>
    <row r="5695" spans="1:4" x14ac:dyDescent="0.25">
      <c r="A5695" t="str">
        <f>T("   820590")</f>
        <v xml:space="preserve">   820590</v>
      </c>
      <c r="B5695" t="str">
        <f>T("   Assortiments d'outils d'au moins deux des sous-positions du n° 8205")</f>
        <v xml:space="preserve">   Assortiments d'outils d'au moins deux des sous-positions du n° 8205</v>
      </c>
      <c r="C5695">
        <v>330718</v>
      </c>
      <c r="D5695">
        <v>6</v>
      </c>
    </row>
    <row r="5696" spans="1:4" x14ac:dyDescent="0.25">
      <c r="A5696" t="str">
        <f>T("   830249")</f>
        <v xml:space="preserve">   830249</v>
      </c>
      <c r="B5696" t="s">
        <v>405</v>
      </c>
      <c r="C5696">
        <v>4731728</v>
      </c>
      <c r="D5696">
        <v>2256</v>
      </c>
    </row>
    <row r="5697" spans="1:4" x14ac:dyDescent="0.25">
      <c r="A5697" t="str">
        <f>T("   830300")</f>
        <v xml:space="preserve">   830300</v>
      </c>
      <c r="B5697"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5697">
        <v>355694</v>
      </c>
      <c r="D5697">
        <v>572</v>
      </c>
    </row>
    <row r="5698" spans="1:4" x14ac:dyDescent="0.25">
      <c r="A5698" t="str">
        <f>T("   830710")</f>
        <v xml:space="preserve">   830710</v>
      </c>
      <c r="B5698" t="str">
        <f>T("   Tuyaux flexibles en fer ou en acier, même avec accessoires")</f>
        <v xml:space="preserve">   Tuyaux flexibles en fer ou en acier, même avec accessoires</v>
      </c>
      <c r="C5698">
        <v>1888384</v>
      </c>
      <c r="D5698">
        <v>155</v>
      </c>
    </row>
    <row r="5699" spans="1:4" x14ac:dyDescent="0.25">
      <c r="A5699" t="str">
        <f>T("   840999")</f>
        <v xml:space="preserve">   840999</v>
      </c>
      <c r="B5699"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699">
        <v>45885930</v>
      </c>
      <c r="D5699">
        <v>3615</v>
      </c>
    </row>
    <row r="5700" spans="1:4" x14ac:dyDescent="0.25">
      <c r="A5700" t="str">
        <f>T("   841121")</f>
        <v xml:space="preserve">   841121</v>
      </c>
      <c r="B5700" t="str">
        <f>T("   Turbopropulseurs, puissance &lt;= 1.100 kW")</f>
        <v xml:space="preserve">   Turbopropulseurs, puissance &lt;= 1.100 kW</v>
      </c>
      <c r="C5700">
        <v>40000</v>
      </c>
      <c r="D5700">
        <v>16</v>
      </c>
    </row>
    <row r="5701" spans="1:4" x14ac:dyDescent="0.25">
      <c r="A5701" t="str">
        <f>T("   841350")</f>
        <v xml:space="preserve">   841350</v>
      </c>
      <c r="B5701" t="s">
        <v>417</v>
      </c>
      <c r="C5701">
        <v>1648303</v>
      </c>
      <c r="D5701">
        <v>13</v>
      </c>
    </row>
    <row r="5702" spans="1:4" x14ac:dyDescent="0.25">
      <c r="A5702" t="str">
        <f>T("   841381")</f>
        <v xml:space="preserve">   841381</v>
      </c>
      <c r="B5702" t="s">
        <v>420</v>
      </c>
      <c r="C5702">
        <v>8871558</v>
      </c>
      <c r="D5702">
        <v>908.4</v>
      </c>
    </row>
    <row r="5703" spans="1:4" x14ac:dyDescent="0.25">
      <c r="A5703" t="str">
        <f>T("   841382")</f>
        <v xml:space="preserve">   841382</v>
      </c>
      <c r="B5703" t="str">
        <f>T("   Elévateurs à liquides (à l'excl. des pompes)")</f>
        <v xml:space="preserve">   Elévateurs à liquides (à l'excl. des pompes)</v>
      </c>
      <c r="C5703">
        <v>1702831</v>
      </c>
      <c r="D5703">
        <v>2</v>
      </c>
    </row>
    <row r="5704" spans="1:4" x14ac:dyDescent="0.25">
      <c r="A5704" t="str">
        <f>T("   841451")</f>
        <v xml:space="preserve">   841451</v>
      </c>
      <c r="B5704"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5704">
        <v>15072364</v>
      </c>
      <c r="D5704">
        <v>10800</v>
      </c>
    </row>
    <row r="5705" spans="1:4" x14ac:dyDescent="0.25">
      <c r="A5705" t="str">
        <f>T("   841490")</f>
        <v xml:space="preserve">   841490</v>
      </c>
      <c r="B5705"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5705">
        <v>40000</v>
      </c>
      <c r="D5705">
        <v>6</v>
      </c>
    </row>
    <row r="5706" spans="1:4" x14ac:dyDescent="0.25">
      <c r="A5706" t="str">
        <f>T("   841829")</f>
        <v xml:space="preserve">   841829</v>
      </c>
      <c r="B5706" t="str">
        <f>T("   Réfrigérateurs ménagers à absorption, non-électriques")</f>
        <v xml:space="preserve">   Réfrigérateurs ménagers à absorption, non-électriques</v>
      </c>
      <c r="C5706">
        <v>173896851</v>
      </c>
      <c r="D5706">
        <v>1030797</v>
      </c>
    </row>
    <row r="5707" spans="1:4" x14ac:dyDescent="0.25">
      <c r="A5707" t="str">
        <f>T("   841850")</f>
        <v xml:space="preserve">   841850</v>
      </c>
      <c r="B5707" t="s">
        <v>427</v>
      </c>
      <c r="C5707">
        <v>15146116</v>
      </c>
      <c r="D5707">
        <v>2587</v>
      </c>
    </row>
    <row r="5708" spans="1:4" x14ac:dyDescent="0.25">
      <c r="A5708" t="str">
        <f>T("   842199")</f>
        <v xml:space="preserve">   842199</v>
      </c>
      <c r="B5708" t="str">
        <f>T("   Parties d'appareils pour la filtration ou l'épuration des liquides ou des gaz, n.d.a.")</f>
        <v xml:space="preserve">   Parties d'appareils pour la filtration ou l'épuration des liquides ou des gaz, n.d.a.</v>
      </c>
      <c r="C5708">
        <v>3043688</v>
      </c>
      <c r="D5708">
        <v>21</v>
      </c>
    </row>
    <row r="5709" spans="1:4" x14ac:dyDescent="0.25">
      <c r="A5709" t="str">
        <f>T("   842290")</f>
        <v xml:space="preserve">   842290</v>
      </c>
      <c r="B5709"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5709">
        <v>5160013</v>
      </c>
      <c r="D5709">
        <v>12</v>
      </c>
    </row>
    <row r="5710" spans="1:4" x14ac:dyDescent="0.25">
      <c r="A5710" t="str">
        <f>T("   842833")</f>
        <v xml:space="preserve">   842833</v>
      </c>
      <c r="B5710"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5710">
        <v>125577476</v>
      </c>
      <c r="D5710">
        <v>22860</v>
      </c>
    </row>
    <row r="5711" spans="1:4" x14ac:dyDescent="0.25">
      <c r="A5711" t="str">
        <f>T("   843120")</f>
        <v xml:space="preserve">   843120</v>
      </c>
      <c r="B5711" t="str">
        <f>T("   Parties de chariots-gerbeurs et autres chariots de manutention munis d'un dispositif de levage, n.d.a.")</f>
        <v xml:space="preserve">   Parties de chariots-gerbeurs et autres chariots de manutention munis d'un dispositif de levage, n.d.a.</v>
      </c>
      <c r="C5711">
        <v>196545277</v>
      </c>
      <c r="D5711">
        <v>10093.700000000001</v>
      </c>
    </row>
    <row r="5712" spans="1:4" x14ac:dyDescent="0.25">
      <c r="A5712" t="str">
        <f>T("   843139")</f>
        <v xml:space="preserve">   843139</v>
      </c>
      <c r="B5712" t="str">
        <f>T("   Parties de machines et appareils du n° 8428, n.d.a.")</f>
        <v xml:space="preserve">   Parties de machines et appareils du n° 8428, n.d.a.</v>
      </c>
      <c r="C5712">
        <v>56546959</v>
      </c>
      <c r="D5712">
        <v>595.79999999999995</v>
      </c>
    </row>
    <row r="5713" spans="1:4" x14ac:dyDescent="0.25">
      <c r="A5713" t="str">
        <f>T("   843143")</f>
        <v xml:space="preserve">   843143</v>
      </c>
      <c r="B5713" t="str">
        <f>T("   Parties de machines de sondage ou de forage du n° 8430.41 ou 8430.49, n.d.a.")</f>
        <v xml:space="preserve">   Parties de machines de sondage ou de forage du n° 8430.41 ou 8430.49, n.d.a.</v>
      </c>
      <c r="C5713">
        <v>170481475</v>
      </c>
      <c r="D5713">
        <v>4786</v>
      </c>
    </row>
    <row r="5714" spans="1:4" x14ac:dyDescent="0.25">
      <c r="A5714" t="str">
        <f>T("   843149")</f>
        <v xml:space="preserve">   843149</v>
      </c>
      <c r="B5714" t="str">
        <f>T("   Parties de machines et appareils du n° 8426, 8429 ou 8430, n.d.a.")</f>
        <v xml:space="preserve">   Parties de machines et appareils du n° 8426, 8429 ou 8430, n.d.a.</v>
      </c>
      <c r="C5714">
        <v>57736405</v>
      </c>
      <c r="D5714">
        <v>813.8</v>
      </c>
    </row>
    <row r="5715" spans="1:4" x14ac:dyDescent="0.25">
      <c r="A5715" t="str">
        <f>T("   843290")</f>
        <v xml:space="preserve">   843290</v>
      </c>
      <c r="B5715"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5715">
        <v>1074312</v>
      </c>
      <c r="D5715">
        <v>607</v>
      </c>
    </row>
    <row r="5716" spans="1:4" x14ac:dyDescent="0.25">
      <c r="A5716" t="str">
        <f>T("   843390")</f>
        <v xml:space="preserve">   843390</v>
      </c>
      <c r="B5716"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5716">
        <v>144724</v>
      </c>
      <c r="D5716">
        <v>69</v>
      </c>
    </row>
    <row r="5717" spans="1:4" x14ac:dyDescent="0.25">
      <c r="A5717" t="str">
        <f>T("   843510")</f>
        <v xml:space="preserve">   843510</v>
      </c>
      <c r="B5717" t="s">
        <v>437</v>
      </c>
      <c r="C5717">
        <v>1638617</v>
      </c>
      <c r="D5717">
        <v>29</v>
      </c>
    </row>
    <row r="5718" spans="1:4" x14ac:dyDescent="0.25">
      <c r="A5718" t="str">
        <f>T("   844313")</f>
        <v xml:space="preserve">   844313</v>
      </c>
      <c r="B5718" t="str">
        <f>T("   MACHINES ET APPAREILS À IMPRIMER OFFSET (À L'EXCL. DES MACHINES ET APPAREILS OFFSET ALIMENTÉS EN FEUILLES DE FORMAT &lt;= 22 X 36 CM ET DES MACHINES ET APPAREILS OFFSET ALIMENTÉS EN BOBINES)")</f>
        <v xml:space="preserve">   MACHINES ET APPAREILS À IMPRIMER OFFSET (À L'EXCL. DES MACHINES ET APPAREILS OFFSET ALIMENTÉS EN FEUILLES DE FORMAT &lt;= 22 X 36 CM ET DES MACHINES ET APPAREILS OFFSET ALIMENTÉS EN BOBINES)</v>
      </c>
      <c r="C5718">
        <v>275000</v>
      </c>
      <c r="D5718">
        <v>90</v>
      </c>
    </row>
    <row r="5719" spans="1:4" x14ac:dyDescent="0.25">
      <c r="A5719" t="str">
        <f>T("   844319")</f>
        <v xml:space="preserve">   844319</v>
      </c>
      <c r="B5719" t="s">
        <v>443</v>
      </c>
      <c r="C5719">
        <v>127649816</v>
      </c>
      <c r="D5719">
        <v>20000</v>
      </c>
    </row>
    <row r="5720" spans="1:4" x14ac:dyDescent="0.25">
      <c r="A5720" t="str">
        <f>T("   845011")</f>
        <v xml:space="preserve">   845011</v>
      </c>
      <c r="B5720" t="str">
        <f>T("   Machines à laver le linge entièrement automatiques, d'une capacité unitaire exprimée en poids de linge sec &lt;= 6 kg")</f>
        <v xml:space="preserve">   Machines à laver le linge entièrement automatiques, d'une capacité unitaire exprimée en poids de linge sec &lt;= 6 kg</v>
      </c>
      <c r="C5720">
        <v>480000</v>
      </c>
      <c r="D5720">
        <v>2000</v>
      </c>
    </row>
    <row r="5721" spans="1:4" x14ac:dyDescent="0.25">
      <c r="A5721" t="str">
        <f>T("   845229")</f>
        <v xml:space="preserve">   845229</v>
      </c>
      <c r="B5721" t="str">
        <f>T("   Machines à coudre de type industriel (sauf unités automatiques)")</f>
        <v xml:space="preserve">   Machines à coudre de type industriel (sauf unités automatiques)</v>
      </c>
      <c r="C5721">
        <v>5883305</v>
      </c>
      <c r="D5721">
        <v>80</v>
      </c>
    </row>
    <row r="5722" spans="1:4" x14ac:dyDescent="0.25">
      <c r="A5722" t="str">
        <f>T("   847149")</f>
        <v xml:space="preserve">   847149</v>
      </c>
      <c r="B5722" t="s">
        <v>459</v>
      </c>
      <c r="C5722">
        <v>2370340</v>
      </c>
      <c r="D5722">
        <v>7167</v>
      </c>
    </row>
    <row r="5723" spans="1:4" x14ac:dyDescent="0.25">
      <c r="A5723" t="str">
        <f>T("   847150")</f>
        <v xml:space="preserve">   847150</v>
      </c>
      <c r="B5723" t="s">
        <v>460</v>
      </c>
      <c r="C5723">
        <v>3422118</v>
      </c>
      <c r="D5723">
        <v>50</v>
      </c>
    </row>
    <row r="5724" spans="1:4" x14ac:dyDescent="0.25">
      <c r="A5724" t="str">
        <f>T("   847160")</f>
        <v xml:space="preserve">   847160</v>
      </c>
      <c r="B5724"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724">
        <v>335987</v>
      </c>
      <c r="D5724">
        <v>13</v>
      </c>
    </row>
    <row r="5725" spans="1:4" x14ac:dyDescent="0.25">
      <c r="A5725" t="str">
        <f>T("   847170")</f>
        <v xml:space="preserve">   847170</v>
      </c>
      <c r="B5725" t="str">
        <f>T("   UNITÉS DE MÉMOIRE POUR MACHINES AUTOMATIQUES DE TRAITEMENT DE L'INFORMATION")</f>
        <v xml:space="preserve">   UNITÉS DE MÉMOIRE POUR MACHINES AUTOMATIQUES DE TRAITEMENT DE L'INFORMATION</v>
      </c>
      <c r="C5725">
        <v>174435</v>
      </c>
      <c r="D5725">
        <v>12</v>
      </c>
    </row>
    <row r="5726" spans="1:4" x14ac:dyDescent="0.25">
      <c r="A5726" t="str">
        <f>T("   847180")</f>
        <v xml:space="preserve">   847180</v>
      </c>
      <c r="B572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726">
        <v>5854755</v>
      </c>
      <c r="D5726">
        <v>23</v>
      </c>
    </row>
    <row r="5727" spans="1:4" x14ac:dyDescent="0.25">
      <c r="A5727" t="str">
        <f>T("   847190")</f>
        <v xml:space="preserve">   847190</v>
      </c>
      <c r="B572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727">
        <v>293077</v>
      </c>
      <c r="D5727">
        <v>5</v>
      </c>
    </row>
    <row r="5728" spans="1:4" x14ac:dyDescent="0.25">
      <c r="A5728" t="str">
        <f>T("   848180")</f>
        <v xml:space="preserve">   848180</v>
      </c>
      <c r="B572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728">
        <v>10141410</v>
      </c>
      <c r="D5728">
        <v>246</v>
      </c>
    </row>
    <row r="5729" spans="1:4" x14ac:dyDescent="0.25">
      <c r="A5729" t="str">
        <f>T("   848490")</f>
        <v xml:space="preserve">   848490</v>
      </c>
      <c r="B5729" t="str">
        <f>T("   Jeux ou assortiments de joints de composition différente présentés en pochettes, enveloppes ou emballages analogues")</f>
        <v xml:space="preserve">   Jeux ou assortiments de joints de composition différente présentés en pochettes, enveloppes ou emballages analogues</v>
      </c>
      <c r="C5729">
        <v>6479809</v>
      </c>
      <c r="D5729">
        <v>9</v>
      </c>
    </row>
    <row r="5730" spans="1:4" x14ac:dyDescent="0.25">
      <c r="A5730" t="str">
        <f>T("   850131")</f>
        <v xml:space="preserve">   850131</v>
      </c>
      <c r="B5730" t="str">
        <f>T("   Moteurs à courant continu, puissance &lt;= 750 W mais &gt; 37,5 W et génératrices à courant continu, puissance &lt;= 750 W")</f>
        <v xml:space="preserve">   Moteurs à courant continu, puissance &lt;= 750 W mais &gt; 37,5 W et génératrices à courant continu, puissance &lt;= 750 W</v>
      </c>
      <c r="C5730">
        <v>330000</v>
      </c>
      <c r="D5730">
        <v>1300</v>
      </c>
    </row>
    <row r="5731" spans="1:4" x14ac:dyDescent="0.25">
      <c r="A5731" t="str">
        <f>T("   850212")</f>
        <v xml:space="preserve">   850212</v>
      </c>
      <c r="B573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731">
        <v>13618182</v>
      </c>
      <c r="D5731">
        <v>2558</v>
      </c>
    </row>
    <row r="5732" spans="1:4" x14ac:dyDescent="0.25">
      <c r="A5732" t="str">
        <f>T("   850239")</f>
        <v xml:space="preserve">   850239</v>
      </c>
      <c r="B5732" t="str">
        <f>T("   Groupes électrogènes (autres qu'à énergie éolienne et à moteurs à piston)")</f>
        <v xml:space="preserve">   Groupes électrogènes (autres qu'à énergie éolienne et à moteurs à piston)</v>
      </c>
      <c r="C5732">
        <v>20508866</v>
      </c>
      <c r="D5732">
        <v>21687</v>
      </c>
    </row>
    <row r="5733" spans="1:4" x14ac:dyDescent="0.25">
      <c r="A5733" t="str">
        <f>T("   850410")</f>
        <v xml:space="preserve">   850410</v>
      </c>
      <c r="B5733" t="str">
        <f>T("   Ballasts pour lampes ou tubes à décharge")</f>
        <v xml:space="preserve">   Ballasts pour lampes ou tubes à décharge</v>
      </c>
      <c r="C5733">
        <v>294336</v>
      </c>
      <c r="D5733">
        <v>503</v>
      </c>
    </row>
    <row r="5734" spans="1:4" x14ac:dyDescent="0.25">
      <c r="A5734" t="str">
        <f>T("   850440")</f>
        <v xml:space="preserve">   850440</v>
      </c>
      <c r="B5734" t="str">
        <f>T("   CONVERTISSEURS STATIQUES")</f>
        <v xml:space="preserve">   CONVERTISSEURS STATIQUES</v>
      </c>
      <c r="C5734">
        <v>108458654</v>
      </c>
      <c r="D5734">
        <v>91</v>
      </c>
    </row>
    <row r="5735" spans="1:4" x14ac:dyDescent="0.25">
      <c r="A5735" t="str">
        <f>T("   850610")</f>
        <v xml:space="preserve">   850610</v>
      </c>
      <c r="B5735" t="str">
        <f>T("   Piles et batteries de piles électriques, au bioxyde de manganèse (sauf hors d'usage)")</f>
        <v xml:space="preserve">   Piles et batteries de piles électriques, au bioxyde de manganèse (sauf hors d'usage)</v>
      </c>
      <c r="C5735">
        <v>388905</v>
      </c>
      <c r="D5735">
        <v>540</v>
      </c>
    </row>
    <row r="5736" spans="1:4" x14ac:dyDescent="0.25">
      <c r="A5736" t="str">
        <f>T("   850780")</f>
        <v xml:space="preserve">   850780</v>
      </c>
      <c r="B5736" t="str">
        <f>T("   Accumulateurs électriques (sauf hors d'usage et autres qu'au plomb, au nickel-cadmium ou au nickel-fer)")</f>
        <v xml:space="preserve">   Accumulateurs électriques (sauf hors d'usage et autres qu'au plomb, au nickel-cadmium ou au nickel-fer)</v>
      </c>
      <c r="C5736">
        <v>6937440</v>
      </c>
      <c r="D5736">
        <v>180</v>
      </c>
    </row>
    <row r="5737" spans="1:4" x14ac:dyDescent="0.25">
      <c r="A5737" t="str">
        <f>T("   850940")</f>
        <v xml:space="preserve">   850940</v>
      </c>
      <c r="B5737"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737">
        <v>4279548</v>
      </c>
      <c r="D5737">
        <v>5942</v>
      </c>
    </row>
    <row r="5738" spans="1:4" x14ac:dyDescent="0.25">
      <c r="A5738" t="str">
        <f>T("   850980")</f>
        <v xml:space="preserve">   850980</v>
      </c>
      <c r="B5738" t="s">
        <v>473</v>
      </c>
      <c r="C5738">
        <v>5026674</v>
      </c>
      <c r="D5738">
        <v>4800</v>
      </c>
    </row>
    <row r="5739" spans="1:4" x14ac:dyDescent="0.25">
      <c r="A5739" t="str">
        <f>T("   851020")</f>
        <v xml:space="preserve">   851020</v>
      </c>
      <c r="B5739" t="str">
        <f>T("   Tondeuses à moteur électrique incorporé")</f>
        <v xml:space="preserve">   Tondeuses à moteur électrique incorporé</v>
      </c>
      <c r="C5739">
        <v>3333608</v>
      </c>
      <c r="D5739">
        <v>6527</v>
      </c>
    </row>
    <row r="5740" spans="1:4" x14ac:dyDescent="0.25">
      <c r="A5740" t="str">
        <f>T("   851610")</f>
        <v xml:space="preserve">   851610</v>
      </c>
      <c r="B5740" t="str">
        <f>T("   Chauffe-eau et thermoplongeurs électriques")</f>
        <v xml:space="preserve">   Chauffe-eau et thermoplongeurs électriques</v>
      </c>
      <c r="C5740">
        <v>2124492</v>
      </c>
      <c r="D5740">
        <v>3698</v>
      </c>
    </row>
    <row r="5741" spans="1:4" x14ac:dyDescent="0.25">
      <c r="A5741" t="str">
        <f>T("   851640")</f>
        <v xml:space="preserve">   851640</v>
      </c>
      <c r="B5741" t="str">
        <f>T("   Fers à repasser électriques")</f>
        <v xml:space="preserve">   Fers à repasser électriques</v>
      </c>
      <c r="C5741">
        <v>780000</v>
      </c>
      <c r="D5741">
        <v>500</v>
      </c>
    </row>
    <row r="5742" spans="1:4" x14ac:dyDescent="0.25">
      <c r="A5742" t="str">
        <f>T("   851660")</f>
        <v xml:space="preserve">   851660</v>
      </c>
      <c r="B5742"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742">
        <v>22759529</v>
      </c>
      <c r="D5742">
        <v>94710</v>
      </c>
    </row>
    <row r="5743" spans="1:4" x14ac:dyDescent="0.25">
      <c r="A5743" t="str">
        <f>T("   851679")</f>
        <v xml:space="preserve">   851679</v>
      </c>
      <c r="B5743" t="s">
        <v>478</v>
      </c>
      <c r="C5743">
        <v>5953704</v>
      </c>
      <c r="D5743">
        <v>22000</v>
      </c>
    </row>
    <row r="5744" spans="1:4" x14ac:dyDescent="0.25">
      <c r="A5744" t="str">
        <f>T("   851690")</f>
        <v xml:space="preserve">   851690</v>
      </c>
      <c r="B5744"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5744">
        <v>256095</v>
      </c>
      <c r="D5744">
        <v>2</v>
      </c>
    </row>
    <row r="5745" spans="1:4" x14ac:dyDescent="0.25">
      <c r="A5745" t="str">
        <f>T("   851712")</f>
        <v xml:space="preserve">   851712</v>
      </c>
      <c r="B5745" t="str">
        <f>T("   TÉLÉPHONES POUR RÉSEAUX CELLULAIRES [TÉLÉPHONES MOBILES] ET POUR AUTRES RÉSEAUX SANS FIL")</f>
        <v xml:space="preserve">   TÉLÉPHONES POUR RÉSEAUX CELLULAIRES [TÉLÉPHONES MOBILES] ET POUR AUTRES RÉSEAUX SANS FIL</v>
      </c>
      <c r="C5745">
        <v>80457</v>
      </c>
      <c r="D5745">
        <v>13</v>
      </c>
    </row>
    <row r="5746" spans="1:4" x14ac:dyDescent="0.25">
      <c r="A5746" t="str">
        <f>T("   851769")</f>
        <v xml:space="preserve">   851769</v>
      </c>
      <c r="B5746" t="s">
        <v>481</v>
      </c>
      <c r="C5746">
        <v>30603083</v>
      </c>
      <c r="D5746">
        <v>205.9</v>
      </c>
    </row>
    <row r="5747" spans="1:4" x14ac:dyDescent="0.25">
      <c r="A5747" t="str">
        <f>T("   851770")</f>
        <v xml:space="preserve">   851770</v>
      </c>
      <c r="B5747"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5747">
        <v>3051751</v>
      </c>
      <c r="D5747">
        <v>23</v>
      </c>
    </row>
    <row r="5748" spans="1:4" x14ac:dyDescent="0.25">
      <c r="A5748" t="str">
        <f>T("   851810")</f>
        <v xml:space="preserve">   851810</v>
      </c>
      <c r="B5748" t="str">
        <f>T("   Microphones et leurs supports (autres que sans fil, avec émetteur incorporé)")</f>
        <v xml:space="preserve">   Microphones et leurs supports (autres que sans fil, avec émetteur incorporé)</v>
      </c>
      <c r="C5748">
        <v>1063961</v>
      </c>
      <c r="D5748">
        <v>100</v>
      </c>
    </row>
    <row r="5749" spans="1:4" x14ac:dyDescent="0.25">
      <c r="A5749" t="str">
        <f>T("   852190")</f>
        <v xml:space="preserve">   852190</v>
      </c>
      <c r="B5749" t="s">
        <v>487</v>
      </c>
      <c r="C5749">
        <v>100000</v>
      </c>
      <c r="D5749">
        <v>100</v>
      </c>
    </row>
    <row r="5750" spans="1:4" x14ac:dyDescent="0.25">
      <c r="A5750" t="str">
        <f>T("   852380")</f>
        <v xml:space="preserve">   852380</v>
      </c>
      <c r="B5750" t="s">
        <v>490</v>
      </c>
      <c r="C5750">
        <v>2226820</v>
      </c>
      <c r="D5750">
        <v>1282</v>
      </c>
    </row>
    <row r="5751" spans="1:4" x14ac:dyDescent="0.25">
      <c r="A5751" t="str">
        <f>T("   852610")</f>
        <v xml:space="preserve">   852610</v>
      </c>
      <c r="B5751" t="str">
        <f>T("   Appareils de radiodétection et de radiosondage [radar]")</f>
        <v xml:space="preserve">   Appareils de radiodétection et de radiosondage [radar]</v>
      </c>
      <c r="C5751">
        <v>9823867</v>
      </c>
      <c r="D5751">
        <v>179</v>
      </c>
    </row>
    <row r="5752" spans="1:4" x14ac:dyDescent="0.25">
      <c r="A5752" t="str">
        <f>T("   852719")</f>
        <v xml:space="preserve">   852719</v>
      </c>
      <c r="B575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752">
        <v>18813845</v>
      </c>
      <c r="D5752">
        <v>210476</v>
      </c>
    </row>
    <row r="5753" spans="1:4" x14ac:dyDescent="0.25">
      <c r="A5753" t="str">
        <f>T("   852729")</f>
        <v xml:space="preserve">   852729</v>
      </c>
      <c r="B5753" t="s">
        <v>492</v>
      </c>
      <c r="C5753">
        <v>54763424</v>
      </c>
      <c r="D5753">
        <v>192936</v>
      </c>
    </row>
    <row r="5754" spans="1:4" x14ac:dyDescent="0.25">
      <c r="A5754" t="str">
        <f>T("   852791")</f>
        <v xml:space="preserve">   852791</v>
      </c>
      <c r="B5754" t="str">
        <f>T("   RÉCEPTEURS DE RADIODIFFUSION, NE POUVANT FONCTIONNER QU'AVEC UNE SOURCE D'ÉNERGIE EXTÉRIEURE, COMBINÉS À UN APPAREIL D'ENREGISTREMENT OU DE REPRODUCTION DU SON (AUTRES QUE POUR VÉHICULES AUTOMOBILES)")</f>
        <v xml:space="preserve">   RÉCEPTEURS DE RADIODIFFUSION, NE POUVANT FONCTIONNER QU'AVEC UNE SOURCE D'ÉNERGIE EXTÉRIEURE, COMBINÉS À UN APPAREIL D'ENREGISTREMENT OU DE REPRODUCTION DU SON (AUTRES QUE POUR VÉHICULES AUTOMOBILES)</v>
      </c>
      <c r="C5754">
        <v>653664</v>
      </c>
      <c r="D5754">
        <v>907</v>
      </c>
    </row>
    <row r="5755" spans="1:4" x14ac:dyDescent="0.25">
      <c r="A5755" t="str">
        <f>T("   852812")</f>
        <v xml:space="preserve">   852812</v>
      </c>
      <c r="B575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755">
        <v>10289124</v>
      </c>
      <c r="D5755">
        <v>42700</v>
      </c>
    </row>
    <row r="5756" spans="1:4" x14ac:dyDescent="0.25">
      <c r="A5756" t="str">
        <f>T("   852849")</f>
        <v xml:space="preserve">   852849</v>
      </c>
      <c r="B5756"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5756">
        <v>80000</v>
      </c>
      <c r="D5756">
        <v>10</v>
      </c>
    </row>
    <row r="5757" spans="1:4" x14ac:dyDescent="0.25">
      <c r="A5757" t="str">
        <f>T("   852859")</f>
        <v xml:space="preserve">   852859</v>
      </c>
      <c r="B5757"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5757">
        <v>985336</v>
      </c>
      <c r="D5757">
        <v>2100</v>
      </c>
    </row>
    <row r="5758" spans="1:4" x14ac:dyDescent="0.25">
      <c r="A5758" t="str">
        <f>T("   852871")</f>
        <v xml:space="preserve">   852871</v>
      </c>
      <c r="B5758"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5758">
        <v>216086</v>
      </c>
      <c r="D5758">
        <v>150</v>
      </c>
    </row>
    <row r="5759" spans="1:4" x14ac:dyDescent="0.25">
      <c r="A5759" t="str">
        <f>T("   852872")</f>
        <v xml:space="preserve">   852872</v>
      </c>
      <c r="B5759" t="str">
        <f>T("   APPAREILS RÉCEPTEURS DE TÉLÉVISION EN COULEURS, MÊME INCORPORANT UN APPAREIL RÉCEPTEUR DE RADIODIFFUSION OU UN APPAREIL D'ENREGISTREMENT OU DE REPRODUCTION DU SON OU DES IMAGES, CONÇUS POUR INCORPORER UN DISPOSITIF D'AFFICHAGE OU UN ÉCRAN VIDÉO")</f>
        <v xml:space="preserve">   APPAREILS RÉCEPTEURS DE TÉLÉVISION EN COULEURS, MÊME INCORPORANT UN APPAREIL RÉCEPTEUR DE RADIODIFFUSION OU UN APPAREIL D'ENREGISTREMENT OU DE REPRODUCTION DU SON OU DES IMAGES, CONÇUS POUR INCORPORER UN DISPOSITIF D'AFFICHAGE OU UN ÉCRAN VIDÉO</v>
      </c>
      <c r="C5759">
        <v>16000</v>
      </c>
      <c r="D5759">
        <v>40</v>
      </c>
    </row>
    <row r="5760" spans="1:4" x14ac:dyDescent="0.25">
      <c r="A5760" t="str">
        <f>T("   852873")</f>
        <v xml:space="preserve">   852873</v>
      </c>
      <c r="B5760" t="s">
        <v>495</v>
      </c>
      <c r="C5760">
        <v>110000</v>
      </c>
      <c r="D5760">
        <v>160</v>
      </c>
    </row>
    <row r="5761" spans="1:4" x14ac:dyDescent="0.25">
      <c r="A5761" t="str">
        <f>T("   852910")</f>
        <v xml:space="preserve">   852910</v>
      </c>
      <c r="B576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761">
        <v>52662958</v>
      </c>
      <c r="D5761">
        <v>5661</v>
      </c>
    </row>
    <row r="5762" spans="1:4" x14ac:dyDescent="0.25">
      <c r="A5762" t="str">
        <f>T("   852990")</f>
        <v xml:space="preserve">   852990</v>
      </c>
      <c r="B5762" t="s">
        <v>496</v>
      </c>
      <c r="C5762">
        <v>811540</v>
      </c>
      <c r="D5762">
        <v>246</v>
      </c>
    </row>
    <row r="5763" spans="1:4" x14ac:dyDescent="0.25">
      <c r="A5763" t="str">
        <f>T("   853529")</f>
        <v xml:space="preserve">   853529</v>
      </c>
      <c r="B5763" t="str">
        <f>T("   Disjoncteurs, pour une tension &gt;= 72,5 kV")</f>
        <v xml:space="preserve">   Disjoncteurs, pour une tension &gt;= 72,5 kV</v>
      </c>
      <c r="C5763">
        <v>186719</v>
      </c>
      <c r="D5763">
        <v>1.4</v>
      </c>
    </row>
    <row r="5764" spans="1:4" x14ac:dyDescent="0.25">
      <c r="A5764" t="str">
        <f>T("   853590")</f>
        <v xml:space="preserve">   853590</v>
      </c>
      <c r="B5764" t="s">
        <v>498</v>
      </c>
      <c r="C5764">
        <v>809851</v>
      </c>
      <c r="D5764">
        <v>2358</v>
      </c>
    </row>
    <row r="5765" spans="1:4" x14ac:dyDescent="0.25">
      <c r="A5765" t="str">
        <f>T("   853650")</f>
        <v xml:space="preserve">   853650</v>
      </c>
      <c r="B5765" t="str">
        <f>T("   Interrupteurs, sectionneurs et commutateurs, pour une tension &lt;= 1.000 V (autres que relais et disjoncteurs)")</f>
        <v xml:space="preserve">   Interrupteurs, sectionneurs et commutateurs, pour une tension &lt;= 1.000 V (autres que relais et disjoncteurs)</v>
      </c>
      <c r="C5765">
        <v>1446392</v>
      </c>
      <c r="D5765">
        <v>40</v>
      </c>
    </row>
    <row r="5766" spans="1:4" x14ac:dyDescent="0.25">
      <c r="A5766" t="str">
        <f>T("   853669")</f>
        <v xml:space="preserve">   853669</v>
      </c>
      <c r="B5766" t="str">
        <f>T("   Fiches et prises de courant, pour une tension &lt;= 1.000 V (sauf douilles pour lampes)")</f>
        <v xml:space="preserve">   Fiches et prises de courant, pour une tension &lt;= 1.000 V (sauf douilles pour lampes)</v>
      </c>
      <c r="C5766">
        <v>57147292</v>
      </c>
      <c r="D5766">
        <v>211</v>
      </c>
    </row>
    <row r="5767" spans="1:4" x14ac:dyDescent="0.25">
      <c r="A5767" t="str">
        <f>T("   853690")</f>
        <v xml:space="preserve">   853690</v>
      </c>
      <c r="B5767" t="s">
        <v>499</v>
      </c>
      <c r="C5767">
        <v>1247801</v>
      </c>
      <c r="D5767">
        <v>40</v>
      </c>
    </row>
    <row r="5768" spans="1:4" x14ac:dyDescent="0.25">
      <c r="A5768" t="str">
        <f>T("   853910")</f>
        <v xml:space="preserve">   853910</v>
      </c>
      <c r="B5768" t="str">
        <f>T("   Phares et projecteurs scellés")</f>
        <v xml:space="preserve">   Phares et projecteurs scellés</v>
      </c>
      <c r="C5768">
        <v>4694883</v>
      </c>
      <c r="D5768">
        <v>61</v>
      </c>
    </row>
    <row r="5769" spans="1:4" x14ac:dyDescent="0.25">
      <c r="A5769" t="str">
        <f>T("   853921")</f>
        <v xml:space="preserve">   853921</v>
      </c>
      <c r="B5769" t="str">
        <f>T("   Lampes et tubes halogènes, au tungstène (autres que phares et projecteurs scellés)")</f>
        <v xml:space="preserve">   Lampes et tubes halogènes, au tungstène (autres que phares et projecteurs scellés)</v>
      </c>
      <c r="C5769">
        <v>328854</v>
      </c>
      <c r="D5769">
        <v>24</v>
      </c>
    </row>
    <row r="5770" spans="1:4" x14ac:dyDescent="0.25">
      <c r="A5770" t="str">
        <f>T("   854239")</f>
        <v xml:space="preserve">   854239</v>
      </c>
      <c r="B5770" t="str">
        <f>T("   CIRCUITS INTÉGRÉS ÉLECTRONIQUES (À L'EXCL. DE CEUX UTILISÉS COMME PROCESSEURS, CONTRÔLEURS, MÉMOIRES ET AMPLIFICATEURS)")</f>
        <v xml:space="preserve">   CIRCUITS INTÉGRÉS ÉLECTRONIQUES (À L'EXCL. DE CEUX UTILISÉS COMME PROCESSEURS, CONTRÔLEURS, MÉMOIRES ET AMPLIFICATEURS)</v>
      </c>
      <c r="C5770">
        <v>2632791</v>
      </c>
      <c r="D5770">
        <v>1</v>
      </c>
    </row>
    <row r="5771" spans="1:4" x14ac:dyDescent="0.25">
      <c r="A5771" t="str">
        <f>T("   854420")</f>
        <v xml:space="preserve">   854420</v>
      </c>
      <c r="B5771" t="str">
        <f>T("   Câbles coaxiaux et autres conducteurs électriques coaxiaux, isolés")</f>
        <v xml:space="preserve">   Câbles coaxiaux et autres conducteurs électriques coaxiaux, isolés</v>
      </c>
      <c r="C5771">
        <v>1835063</v>
      </c>
      <c r="D5771">
        <v>103</v>
      </c>
    </row>
    <row r="5772" spans="1:4" x14ac:dyDescent="0.25">
      <c r="A5772" t="str">
        <f>T("   854442")</f>
        <v xml:space="preserve">   854442</v>
      </c>
      <c r="B5772" t="str">
        <f>T("   CONDUCTEURS ÉLECTRIQUES, POUR TENSION &lt;= 1.000 V, ISOLÉS, AVEC PIÈCES DE CONNEXION, N.D.A.")</f>
        <v xml:space="preserve">   CONDUCTEURS ÉLECTRIQUES, POUR TENSION &lt;= 1.000 V, ISOLÉS, AVEC PIÈCES DE CONNEXION, N.D.A.</v>
      </c>
      <c r="C5772">
        <v>4273291</v>
      </c>
      <c r="D5772">
        <v>16</v>
      </c>
    </row>
    <row r="5773" spans="1:4" x14ac:dyDescent="0.25">
      <c r="A5773" t="str">
        <f>T("   854470")</f>
        <v xml:space="preserve">   854470</v>
      </c>
      <c r="B5773"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5773">
        <v>25925</v>
      </c>
      <c r="D5773">
        <v>1</v>
      </c>
    </row>
    <row r="5774" spans="1:4" x14ac:dyDescent="0.25">
      <c r="A5774" t="str">
        <f>T("   870290")</f>
        <v xml:space="preserve">   870290</v>
      </c>
      <c r="B5774" t="s">
        <v>504</v>
      </c>
      <c r="C5774">
        <v>1200000</v>
      </c>
      <c r="D5774">
        <v>2500</v>
      </c>
    </row>
    <row r="5775" spans="1:4" x14ac:dyDescent="0.25">
      <c r="A5775" t="str">
        <f>T("   870322")</f>
        <v xml:space="preserve">   870322</v>
      </c>
      <c r="B5775" t="s">
        <v>506</v>
      </c>
      <c r="C5775">
        <v>4399767</v>
      </c>
      <c r="D5775">
        <v>3415</v>
      </c>
    </row>
    <row r="5776" spans="1:4" x14ac:dyDescent="0.25">
      <c r="A5776" t="str">
        <f>T("   870323")</f>
        <v xml:space="preserve">   870323</v>
      </c>
      <c r="B5776" t="s">
        <v>507</v>
      </c>
      <c r="C5776">
        <v>25373495</v>
      </c>
      <c r="D5776">
        <v>34327</v>
      </c>
    </row>
    <row r="5777" spans="1:4" x14ac:dyDescent="0.25">
      <c r="A5777" t="str">
        <f>T("   870324")</f>
        <v xml:space="preserve">   870324</v>
      </c>
      <c r="B5777" t="s">
        <v>508</v>
      </c>
      <c r="C5777">
        <v>11728442</v>
      </c>
      <c r="D5777">
        <v>11951</v>
      </c>
    </row>
    <row r="5778" spans="1:4" x14ac:dyDescent="0.25">
      <c r="A5778" t="str">
        <f>T("   870333")</f>
        <v xml:space="preserve">   870333</v>
      </c>
      <c r="B5778" t="s">
        <v>511</v>
      </c>
      <c r="C5778">
        <v>1324355</v>
      </c>
      <c r="D5778">
        <v>1760</v>
      </c>
    </row>
    <row r="5779" spans="1:4" x14ac:dyDescent="0.25">
      <c r="A5779" t="str">
        <f>T("   870421")</f>
        <v xml:space="preserve">   870421</v>
      </c>
      <c r="B5779" t="s">
        <v>512</v>
      </c>
      <c r="C5779">
        <v>2944157</v>
      </c>
      <c r="D5779">
        <v>4045</v>
      </c>
    </row>
    <row r="5780" spans="1:4" x14ac:dyDescent="0.25">
      <c r="A5780" t="str">
        <f>T("   870431")</f>
        <v xml:space="preserve">   870431</v>
      </c>
      <c r="B5780" t="s">
        <v>515</v>
      </c>
      <c r="C5780">
        <v>1200000</v>
      </c>
      <c r="D5780">
        <v>1400</v>
      </c>
    </row>
    <row r="5781" spans="1:4" x14ac:dyDescent="0.25">
      <c r="A5781" t="str">
        <f>T("   870899")</f>
        <v xml:space="preserve">   870899</v>
      </c>
      <c r="B578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781">
        <v>1842528</v>
      </c>
      <c r="D5781">
        <v>3032</v>
      </c>
    </row>
    <row r="5782" spans="1:4" x14ac:dyDescent="0.25">
      <c r="A5782" t="str">
        <f>T("   871120")</f>
        <v xml:space="preserve">   871120</v>
      </c>
      <c r="B5782" t="str">
        <f>T("   Motocycles à moteur à piston alternatif, cylindrée &gt; 50 cm³ mais &lt;= 250 cm³")</f>
        <v xml:space="preserve">   Motocycles à moteur à piston alternatif, cylindrée &gt; 50 cm³ mais &lt;= 250 cm³</v>
      </c>
      <c r="C5782">
        <v>115000</v>
      </c>
      <c r="D5782">
        <v>200</v>
      </c>
    </row>
    <row r="5783" spans="1:4" x14ac:dyDescent="0.25">
      <c r="A5783" t="str">
        <f>T("   871200")</f>
        <v xml:space="preserve">   871200</v>
      </c>
      <c r="B5783" t="str">
        <f>T("   BICYCLETTES ET AUTRES CYCLES, -Y.C. LES TRIPORTEURS-, SANS MOTEUR")</f>
        <v xml:space="preserve">   BICYCLETTES ET AUTRES CYCLES, -Y.C. LES TRIPORTEURS-, SANS MOTEUR</v>
      </c>
      <c r="C5783">
        <v>8087297</v>
      </c>
      <c r="D5783">
        <v>45503</v>
      </c>
    </row>
    <row r="5784" spans="1:4" x14ac:dyDescent="0.25">
      <c r="A5784" t="str">
        <f>T("   880330")</f>
        <v xml:space="preserve">   880330</v>
      </c>
      <c r="B5784" t="str">
        <f>T("   Parties d'avions ou d'hélicoptères, n.d.a. (sauf planeurs)")</f>
        <v xml:space="preserve">   Parties d'avions ou d'hélicoptères, n.d.a. (sauf planeurs)</v>
      </c>
      <c r="C5784">
        <v>62239941</v>
      </c>
      <c r="D5784">
        <v>1.8</v>
      </c>
    </row>
    <row r="5785" spans="1:4" x14ac:dyDescent="0.25">
      <c r="A5785" t="str">
        <f>T("   900630")</f>
        <v xml:space="preserve">   900630</v>
      </c>
      <c r="B5785" t="str">
        <f>T("   Appareils photographiques spécialement conçus pour la photographie sous-marine ou aérienne, pour l'examen médical d'organes internes ou pour les laboratoires de médecine légale ou d'identité judiciaire")</f>
        <v xml:space="preserve">   Appareils photographiques spécialement conçus pour la photographie sous-marine ou aérienne, pour l'examen médical d'organes internes ou pour les laboratoires de médecine légale ou d'identité judiciaire</v>
      </c>
      <c r="C5785">
        <v>781053</v>
      </c>
      <c r="D5785">
        <v>15</v>
      </c>
    </row>
    <row r="5786" spans="1:4" x14ac:dyDescent="0.25">
      <c r="A5786" t="str">
        <f>T("   900830")</f>
        <v xml:space="preserve">   900830</v>
      </c>
      <c r="B5786"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5786">
        <v>31821</v>
      </c>
      <c r="D5786">
        <v>1</v>
      </c>
    </row>
    <row r="5787" spans="1:4" x14ac:dyDescent="0.25">
      <c r="A5787" t="str">
        <f>T("   901890")</f>
        <v xml:space="preserve">   901890</v>
      </c>
      <c r="B5787" t="str">
        <f>T("   Instruments et appareils pour la médecine, la chirurgie ou l'art vétérinaire, n.d.a.")</f>
        <v xml:space="preserve">   Instruments et appareils pour la médecine, la chirurgie ou l'art vétérinaire, n.d.a.</v>
      </c>
      <c r="C5787">
        <v>180000</v>
      </c>
      <c r="D5787">
        <v>4.9000000000000004</v>
      </c>
    </row>
    <row r="5788" spans="1:4" x14ac:dyDescent="0.25">
      <c r="A5788" t="str">
        <f>T("   902519")</f>
        <v xml:space="preserve">   902519</v>
      </c>
      <c r="B5788"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5788">
        <v>76700091</v>
      </c>
      <c r="D5788">
        <v>328</v>
      </c>
    </row>
    <row r="5789" spans="1:4" x14ac:dyDescent="0.25">
      <c r="A5789" t="str">
        <f>T("   902620")</f>
        <v xml:space="preserve">   902620</v>
      </c>
      <c r="B578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789">
        <v>1575792</v>
      </c>
      <c r="D5789">
        <v>66</v>
      </c>
    </row>
    <row r="5790" spans="1:4" x14ac:dyDescent="0.25">
      <c r="A5790" t="str">
        <f>T("   903289")</f>
        <v xml:space="preserve">   903289</v>
      </c>
      <c r="B5790" t="s">
        <v>534</v>
      </c>
      <c r="C5790">
        <v>485971</v>
      </c>
      <c r="D5790">
        <v>2</v>
      </c>
    </row>
    <row r="5791" spans="1:4" x14ac:dyDescent="0.25">
      <c r="A5791" t="str">
        <f>T("   910610")</f>
        <v xml:space="preserve">   910610</v>
      </c>
      <c r="B5791" t="str">
        <f>T("   HORLOGES DE POINTAGE; HORODATEURS ET HOROCOMPTEURS [01/01/1988-31/12/1994: HORLOGES DE POINTAGE; HORODATEURS ET HOROCOMPTEURS]")</f>
        <v xml:space="preserve">   HORLOGES DE POINTAGE; HORODATEURS ET HOROCOMPTEURS [01/01/1988-31/12/1994: HORLOGES DE POINTAGE; HORODATEURS ET HOROCOMPTEURS]</v>
      </c>
      <c r="C5791">
        <v>695442</v>
      </c>
      <c r="D5791">
        <v>1</v>
      </c>
    </row>
    <row r="5792" spans="1:4" x14ac:dyDescent="0.25">
      <c r="A5792" t="str">
        <f>T("   920190")</f>
        <v xml:space="preserve">   920190</v>
      </c>
      <c r="B5792" t="str">
        <f>T("   Clavecins et autres instruments à cordes à clavier (autres que pianos)")</f>
        <v xml:space="preserve">   Clavecins et autres instruments à cordes à clavier (autres que pianos)</v>
      </c>
      <c r="C5792">
        <v>25093</v>
      </c>
      <c r="D5792">
        <v>500</v>
      </c>
    </row>
    <row r="5793" spans="1:4" x14ac:dyDescent="0.25">
      <c r="A5793" t="str">
        <f>T("   940320")</f>
        <v xml:space="preserve">   940320</v>
      </c>
      <c r="B5793"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793">
        <v>100000</v>
      </c>
      <c r="D5793">
        <v>100</v>
      </c>
    </row>
    <row r="5794" spans="1:4" x14ac:dyDescent="0.25">
      <c r="A5794" t="str">
        <f>T("   940360")</f>
        <v xml:space="preserve">   940360</v>
      </c>
      <c r="B5794" t="str">
        <f>T("   Meubles en bois (autres que pour bureaux, cuisines ou chambres à coucher et autres que sièges)")</f>
        <v xml:space="preserve">   Meubles en bois (autres que pour bureaux, cuisines ou chambres à coucher et autres que sièges)</v>
      </c>
      <c r="C5794">
        <v>4129312</v>
      </c>
      <c r="D5794">
        <v>44200</v>
      </c>
    </row>
    <row r="5795" spans="1:4" x14ac:dyDescent="0.25">
      <c r="A5795" t="str">
        <f>T("   940370")</f>
        <v xml:space="preserve">   940370</v>
      </c>
      <c r="B579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795">
        <v>100000</v>
      </c>
      <c r="D5795">
        <v>100</v>
      </c>
    </row>
    <row r="5796" spans="1:4" x14ac:dyDescent="0.25">
      <c r="A5796" t="str">
        <f>T("   940380")</f>
        <v xml:space="preserve">   940380</v>
      </c>
      <c r="B5796" t="str">
        <f>T("   Meubles en rotin, osier, bambou ou autres matières (sauf métal, bois et matières plastiques)")</f>
        <v xml:space="preserve">   Meubles en rotin, osier, bambou ou autres matières (sauf métal, bois et matières plastiques)</v>
      </c>
      <c r="C5796">
        <v>2043971</v>
      </c>
      <c r="D5796">
        <v>200</v>
      </c>
    </row>
    <row r="5797" spans="1:4" x14ac:dyDescent="0.25">
      <c r="A5797" t="str">
        <f>T("   940389")</f>
        <v xml:space="preserve">   940389</v>
      </c>
      <c r="B5797"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5797">
        <v>2593200</v>
      </c>
      <c r="D5797">
        <v>10000</v>
      </c>
    </row>
    <row r="5798" spans="1:4" x14ac:dyDescent="0.25">
      <c r="A5798" t="str">
        <f>T("   940410")</f>
        <v xml:space="preserve">   940410</v>
      </c>
      <c r="B5798" t="str">
        <f>T("   Sommiers (sauf ressorts pour sièges)")</f>
        <v xml:space="preserve">   Sommiers (sauf ressorts pour sièges)</v>
      </c>
      <c r="C5798">
        <v>109329</v>
      </c>
      <c r="D5798">
        <v>500</v>
      </c>
    </row>
    <row r="5799" spans="1:4" x14ac:dyDescent="0.25">
      <c r="A5799" t="str">
        <f>T("   940490")</f>
        <v xml:space="preserve">   940490</v>
      </c>
      <c r="B5799" t="s">
        <v>537</v>
      </c>
      <c r="C5799">
        <v>109329</v>
      </c>
      <c r="D5799">
        <v>500</v>
      </c>
    </row>
    <row r="5800" spans="1:4" x14ac:dyDescent="0.25">
      <c r="A5800" t="str">
        <f>T("   950390")</f>
        <v xml:space="preserve">   950390</v>
      </c>
      <c r="B5800" t="str">
        <f>T("   Jouets, n.d.a.")</f>
        <v xml:space="preserve">   Jouets, n.d.a.</v>
      </c>
      <c r="C5800">
        <v>266428</v>
      </c>
      <c r="D5800">
        <v>500</v>
      </c>
    </row>
    <row r="5801" spans="1:4" x14ac:dyDescent="0.25">
      <c r="A5801" t="str">
        <f>T("   950430")</f>
        <v xml:space="preserve">   950430</v>
      </c>
      <c r="B5801" t="s">
        <v>538</v>
      </c>
      <c r="C5801">
        <v>11414137</v>
      </c>
      <c r="D5801">
        <v>158</v>
      </c>
    </row>
    <row r="5802" spans="1:4" x14ac:dyDescent="0.25">
      <c r="A5802" t="str">
        <f>T("   950590")</f>
        <v xml:space="preserve">   950590</v>
      </c>
      <c r="B5802" t="str">
        <f>T("   Articles pour fêtes, carnaval ou autres divertissements, y.c. les articles de magie et articles-surprises, n.d.a.")</f>
        <v xml:space="preserve">   Articles pour fêtes, carnaval ou autres divertissements, y.c. les articles de magie et articles-surprises, n.d.a.</v>
      </c>
      <c r="C5802">
        <v>120700</v>
      </c>
      <c r="D5802">
        <v>816</v>
      </c>
    </row>
    <row r="5803" spans="1:4" x14ac:dyDescent="0.25">
      <c r="A5803" t="str">
        <f>T("   960390")</f>
        <v xml:space="preserve">   960390</v>
      </c>
      <c r="B5803"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803">
        <v>923388</v>
      </c>
      <c r="D5803">
        <v>520</v>
      </c>
    </row>
    <row r="5804" spans="1:4" x14ac:dyDescent="0.25">
      <c r="A5804" t="str">
        <f>T("   960810")</f>
        <v xml:space="preserve">   960810</v>
      </c>
      <c r="B5804" t="str">
        <f>T("   Stylos et crayons à bille")</f>
        <v xml:space="preserve">   Stylos et crayons à bille</v>
      </c>
      <c r="C5804">
        <v>357475</v>
      </c>
      <c r="D5804">
        <v>175</v>
      </c>
    </row>
    <row r="5805" spans="1:4" x14ac:dyDescent="0.25">
      <c r="A5805" t="str">
        <f>T("   960839")</f>
        <v xml:space="preserve">   960839</v>
      </c>
      <c r="B5805" t="str">
        <f>T("   Stylos à plume et autres stylos (autres qu'à dessiner à l'encre de Chine)")</f>
        <v xml:space="preserve">   Stylos à plume et autres stylos (autres qu'à dessiner à l'encre de Chine)</v>
      </c>
      <c r="C5805">
        <v>15045722</v>
      </c>
      <c r="D5805">
        <v>11885</v>
      </c>
    </row>
    <row r="5806" spans="1:4" x14ac:dyDescent="0.25">
      <c r="A5806" t="str">
        <f>T("GD")</f>
        <v>GD</v>
      </c>
      <c r="B5806" t="str">
        <f>T("Grenade")</f>
        <v>Grenade</v>
      </c>
    </row>
    <row r="5807" spans="1:4" x14ac:dyDescent="0.25">
      <c r="A5807" t="str">
        <f>T("   ZZ_Total_Produit_SH6")</f>
        <v xml:space="preserve">   ZZ_Total_Produit_SH6</v>
      </c>
      <c r="B5807" t="str">
        <f>T("   ZZ_Total_Produit_SH6")</f>
        <v xml:space="preserve">   ZZ_Total_Produit_SH6</v>
      </c>
      <c r="C5807">
        <v>58750564</v>
      </c>
      <c r="D5807">
        <v>97575</v>
      </c>
    </row>
    <row r="5808" spans="1:4" x14ac:dyDescent="0.25">
      <c r="A5808" t="str">
        <f>T("   020724")</f>
        <v xml:space="preserve">   020724</v>
      </c>
      <c r="B5808" t="str">
        <f>T("   DINDES ET DINDONS [DES ESPÈCES DOMESTIQUES], NON-DÉCOUPÉES EN MORCEAUX, FRAIS OU RÉFRIGÉRÉS")</f>
        <v xml:space="preserve">   DINDES ET DINDONS [DES ESPÈCES DOMESTIQUES], NON-DÉCOUPÉES EN MORCEAUX, FRAIS OU RÉFRIGÉRÉS</v>
      </c>
      <c r="C5808">
        <v>15550188</v>
      </c>
      <c r="D5808">
        <v>24850</v>
      </c>
    </row>
    <row r="5809" spans="1:4" x14ac:dyDescent="0.25">
      <c r="A5809" t="str">
        <f>T("   020725")</f>
        <v xml:space="preserve">   020725</v>
      </c>
      <c r="B5809" t="str">
        <f>T("   DINDES ET DINDONS [DES ESPÈCES DOMESTIQUES], NON-DÉCOUPÉS EN MORCEAUX, CONGELÉS")</f>
        <v xml:space="preserve">   DINDES ET DINDONS [DES ESPÈCES DOMESTIQUES], NON-DÉCOUPÉS EN MORCEAUX, CONGELÉS</v>
      </c>
      <c r="C5809">
        <v>15550188</v>
      </c>
      <c r="D5809">
        <v>25000</v>
      </c>
    </row>
    <row r="5810" spans="1:4" x14ac:dyDescent="0.25">
      <c r="A5810" t="str">
        <f>T("   020727")</f>
        <v xml:space="preserve">   020727</v>
      </c>
      <c r="B5810" t="str">
        <f>T("   Morceaux et abats comestibles de dindes et dindons [des espèces domestiques], congelés")</f>
        <v xml:space="preserve">   Morceaux et abats comestibles de dindes et dindons [des espèces domestiques], congelés</v>
      </c>
      <c r="C5810">
        <v>15550188</v>
      </c>
      <c r="D5810">
        <v>25725</v>
      </c>
    </row>
    <row r="5811" spans="1:4" x14ac:dyDescent="0.25">
      <c r="A5811" t="str">
        <f>T("   630900")</f>
        <v xml:space="preserve">   630900</v>
      </c>
      <c r="B5811" t="s">
        <v>300</v>
      </c>
      <c r="C5811">
        <v>12100000</v>
      </c>
      <c r="D5811">
        <v>22000</v>
      </c>
    </row>
    <row r="5812" spans="1:4" x14ac:dyDescent="0.25">
      <c r="A5812" t="str">
        <f>T("GE")</f>
        <v>GE</v>
      </c>
      <c r="B5812" t="str">
        <f>T("Géorgie")</f>
        <v>Géorgie</v>
      </c>
    </row>
    <row r="5813" spans="1:4" x14ac:dyDescent="0.25">
      <c r="A5813" t="str">
        <f>T("   ZZ_Total_Produit_SH6")</f>
        <v xml:space="preserve">   ZZ_Total_Produit_SH6</v>
      </c>
      <c r="B5813" t="str">
        <f>T("   ZZ_Total_Produit_SH6")</f>
        <v xml:space="preserve">   ZZ_Total_Produit_SH6</v>
      </c>
      <c r="C5813">
        <v>74594204</v>
      </c>
      <c r="D5813">
        <v>2430</v>
      </c>
    </row>
    <row r="5814" spans="1:4" x14ac:dyDescent="0.25">
      <c r="A5814" t="str">
        <f>T("   300490")</f>
        <v xml:space="preserve">   300490</v>
      </c>
      <c r="B5814" t="s">
        <v>84</v>
      </c>
      <c r="C5814">
        <v>613217</v>
      </c>
      <c r="D5814">
        <v>234</v>
      </c>
    </row>
    <row r="5815" spans="1:4" x14ac:dyDescent="0.25">
      <c r="A5815" t="str">
        <f>T("   382200")</f>
        <v xml:space="preserve">   382200</v>
      </c>
      <c r="B5815" t="s">
        <v>133</v>
      </c>
      <c r="C5815">
        <v>54995012</v>
      </c>
      <c r="D5815">
        <v>178</v>
      </c>
    </row>
    <row r="5816" spans="1:4" x14ac:dyDescent="0.25">
      <c r="A5816" t="str">
        <f>T("   490199")</f>
        <v xml:space="preserve">   490199</v>
      </c>
      <c r="B581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816">
        <v>4429741</v>
      </c>
      <c r="D5816">
        <v>1080.5999999999999</v>
      </c>
    </row>
    <row r="5817" spans="1:4" x14ac:dyDescent="0.25">
      <c r="A5817" t="str">
        <f>T("   490600")</f>
        <v xml:space="preserve">   490600</v>
      </c>
      <c r="B5817" t="s">
        <v>236</v>
      </c>
      <c r="C5817">
        <v>956510</v>
      </c>
      <c r="D5817">
        <v>220.7</v>
      </c>
    </row>
    <row r="5818" spans="1:4" x14ac:dyDescent="0.25">
      <c r="A5818" t="str">
        <f>T("   491110")</f>
        <v xml:space="preserve">   491110</v>
      </c>
      <c r="B5818" t="str">
        <f>T("   Imprimés publicitaires, catalogues commerciaux et simil.")</f>
        <v xml:space="preserve">   Imprimés publicitaires, catalogues commerciaux et simil.</v>
      </c>
      <c r="C5818">
        <v>131192</v>
      </c>
      <c r="D5818">
        <v>137</v>
      </c>
    </row>
    <row r="5819" spans="1:4" x14ac:dyDescent="0.25">
      <c r="A5819" t="str">
        <f>T("   621139")</f>
        <v xml:space="preserve">   621139</v>
      </c>
      <c r="B5819"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5819">
        <v>200000</v>
      </c>
      <c r="D5819">
        <v>20</v>
      </c>
    </row>
    <row r="5820" spans="1:4" x14ac:dyDescent="0.25">
      <c r="A5820" t="str">
        <f>T("   741999")</f>
        <v xml:space="preserve">   741999</v>
      </c>
      <c r="B5820" t="str">
        <f>T("   Ouvrages en cuivre, n.d.a.")</f>
        <v xml:space="preserve">   Ouvrages en cuivre, n.d.a.</v>
      </c>
      <c r="C5820">
        <v>585960</v>
      </c>
      <c r="D5820">
        <v>23</v>
      </c>
    </row>
    <row r="5821" spans="1:4" x14ac:dyDescent="0.25">
      <c r="A5821" t="str">
        <f>T("   761699")</f>
        <v xml:space="preserve">   761699</v>
      </c>
      <c r="B5821" t="str">
        <f>T("   Ouvrages en aluminium, n.d.a.")</f>
        <v xml:space="preserve">   Ouvrages en aluminium, n.d.a.</v>
      </c>
      <c r="C5821">
        <v>1265544</v>
      </c>
      <c r="D5821">
        <v>18.600000000000001</v>
      </c>
    </row>
    <row r="5822" spans="1:4" x14ac:dyDescent="0.25">
      <c r="A5822" t="str">
        <f>T("   840999")</f>
        <v xml:space="preserve">   840999</v>
      </c>
      <c r="B582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5822">
        <v>394482</v>
      </c>
      <c r="D5822">
        <v>0.4</v>
      </c>
    </row>
    <row r="5823" spans="1:4" x14ac:dyDescent="0.25">
      <c r="A5823" t="str">
        <f>T("   842389")</f>
        <v xml:space="preserve">   842389</v>
      </c>
      <c r="B5823" t="str">
        <f>T("   Appareils et instruments de pesage, portée &gt; 5000 kg")</f>
        <v xml:space="preserve">   Appareils et instruments de pesage, portée &gt; 5000 kg</v>
      </c>
      <c r="C5823">
        <v>160000</v>
      </c>
      <c r="D5823">
        <v>189</v>
      </c>
    </row>
    <row r="5824" spans="1:4" x14ac:dyDescent="0.25">
      <c r="A5824" t="str">
        <f>T("   843139")</f>
        <v xml:space="preserve">   843139</v>
      </c>
      <c r="B5824" t="str">
        <f>T("   Parties de machines et appareils du n° 8428, n.d.a.")</f>
        <v xml:space="preserve">   Parties de machines et appareils du n° 8428, n.d.a.</v>
      </c>
      <c r="C5824">
        <v>112609</v>
      </c>
      <c r="D5824">
        <v>0.5</v>
      </c>
    </row>
    <row r="5825" spans="1:4" x14ac:dyDescent="0.25">
      <c r="A5825" t="str">
        <f>T("   847180")</f>
        <v xml:space="preserve">   847180</v>
      </c>
      <c r="B582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825">
        <v>5692421</v>
      </c>
      <c r="D5825">
        <v>240</v>
      </c>
    </row>
    <row r="5826" spans="1:4" x14ac:dyDescent="0.25">
      <c r="A5826" t="str">
        <f>T("   847190")</f>
        <v xml:space="preserve">   847190</v>
      </c>
      <c r="B582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826">
        <v>1788016</v>
      </c>
      <c r="D5826">
        <v>43.6</v>
      </c>
    </row>
    <row r="5827" spans="1:4" x14ac:dyDescent="0.25">
      <c r="A5827" t="str">
        <f>T("   851769")</f>
        <v xml:space="preserve">   851769</v>
      </c>
      <c r="B5827" t="s">
        <v>481</v>
      </c>
      <c r="C5827">
        <v>705518</v>
      </c>
      <c r="D5827">
        <v>5</v>
      </c>
    </row>
    <row r="5828" spans="1:4" x14ac:dyDescent="0.25">
      <c r="A5828" t="str">
        <f>T("   852321")</f>
        <v xml:space="preserve">   852321</v>
      </c>
      <c r="B5828" t="str">
        <f>T("   CARTES MUNIES D'UNE PISTE MAGNÉTIQUE POUR L'ENREGISTREMENT DU SON OU POUR ENREGISTREMENTS ANALOGUES")</f>
        <v xml:space="preserve">   CARTES MUNIES D'UNE PISTE MAGNÉTIQUE POUR L'ENREGISTREMENT DU SON OU POUR ENREGISTREMENTS ANALOGUES</v>
      </c>
      <c r="C5828">
        <v>781731</v>
      </c>
      <c r="D5828">
        <v>12</v>
      </c>
    </row>
    <row r="5829" spans="1:4" x14ac:dyDescent="0.25">
      <c r="A5829" t="str">
        <f>T("   852340")</f>
        <v xml:space="preserve">   852340</v>
      </c>
      <c r="B5829" t="str">
        <f>T("   SUPPORTS OPTIQUES POUR L'ENREGISTREMENT DU SON OU POUR ENREGISTREMENTS ANALOGUES (À L'EXCL. DES PRODUITS DU CHAPITRE 37)")</f>
        <v xml:space="preserve">   SUPPORTS OPTIQUES POUR L'ENREGISTREMENT DU SON OU POUR ENREGISTREMENTS ANALOGUES (À L'EXCL. DES PRODUITS DU CHAPITRE 37)</v>
      </c>
      <c r="C5829">
        <v>353871</v>
      </c>
      <c r="D5829">
        <v>19</v>
      </c>
    </row>
    <row r="5830" spans="1:4" x14ac:dyDescent="0.25">
      <c r="A5830" t="str">
        <f>T("   852580")</f>
        <v xml:space="preserve">   852580</v>
      </c>
      <c r="B5830" t="str">
        <f>T("   CAMÉRAS DE TÉLÉVISION, APPAREILS PHOTOGRAPHIQUES NUMÉRIQUES ET CAMÉSCOPES")</f>
        <v xml:space="preserve">   CAMÉRAS DE TÉLÉVISION, APPAREILS PHOTOGRAPHIQUES NUMÉRIQUES ET CAMÉSCOPES</v>
      </c>
      <c r="C5830">
        <v>604638</v>
      </c>
      <c r="D5830">
        <v>2</v>
      </c>
    </row>
    <row r="5831" spans="1:4" x14ac:dyDescent="0.25">
      <c r="A5831" t="str">
        <f>T("   853641")</f>
        <v xml:space="preserve">   853641</v>
      </c>
      <c r="B5831" t="str">
        <f>T("   Relais pour une tension &lt;= 60 V")</f>
        <v xml:space="preserve">   Relais pour une tension &lt;= 60 V</v>
      </c>
      <c r="C5831">
        <v>115305</v>
      </c>
      <c r="D5831">
        <v>3</v>
      </c>
    </row>
    <row r="5832" spans="1:4" x14ac:dyDescent="0.25">
      <c r="A5832" t="str">
        <f>T("   853650")</f>
        <v xml:space="preserve">   853650</v>
      </c>
      <c r="B5832" t="str">
        <f>T("   Interrupteurs, sectionneurs et commutateurs, pour une tension &lt;= 1.000 V (autres que relais et disjoncteurs)")</f>
        <v xml:space="preserve">   Interrupteurs, sectionneurs et commutateurs, pour une tension &lt;= 1.000 V (autres que relais et disjoncteurs)</v>
      </c>
      <c r="C5832">
        <v>242608</v>
      </c>
      <c r="D5832">
        <v>0.9</v>
      </c>
    </row>
    <row r="5833" spans="1:4" x14ac:dyDescent="0.25">
      <c r="A5833" t="str">
        <f>T("   900211")</f>
        <v xml:space="preserve">   900211</v>
      </c>
      <c r="B5833" t="str">
        <f>T("   Objectifs pour appareils de prise de vues, pour projecteurs ou pour appareils photographiques ou cinématographiques d'agrandissement ou de réduction")</f>
        <v xml:space="preserve">   Objectifs pour appareils de prise de vues, pour projecteurs ou pour appareils photographiques ou cinématographiques d'agrandissement ou de réduction</v>
      </c>
      <c r="C5833">
        <v>56288</v>
      </c>
      <c r="D5833">
        <v>0.7</v>
      </c>
    </row>
    <row r="5834" spans="1:4" x14ac:dyDescent="0.25">
      <c r="A5834" t="str">
        <f>T("   902610")</f>
        <v xml:space="preserve">   902610</v>
      </c>
      <c r="B5834"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5834">
        <v>409541</v>
      </c>
      <c r="D5834">
        <v>2</v>
      </c>
    </row>
    <row r="5835" spans="1:4" x14ac:dyDescent="0.25">
      <c r="A5835" t="str">
        <f>T("GH")</f>
        <v>GH</v>
      </c>
      <c r="B5835" t="str">
        <f>T("Ghana")</f>
        <v>Ghana</v>
      </c>
    </row>
    <row r="5836" spans="1:4" x14ac:dyDescent="0.25">
      <c r="A5836" t="str">
        <f>T("   ZZ_Total_Produit_SH6")</f>
        <v xml:space="preserve">   ZZ_Total_Produit_SH6</v>
      </c>
      <c r="B5836" t="str">
        <f>T("   ZZ_Total_Produit_SH6")</f>
        <v xml:space="preserve">   ZZ_Total_Produit_SH6</v>
      </c>
      <c r="C5836">
        <v>12357550856.827</v>
      </c>
      <c r="D5836">
        <v>22691596.600000001</v>
      </c>
    </row>
    <row r="5837" spans="1:4" x14ac:dyDescent="0.25">
      <c r="A5837" t="str">
        <f>T("   040221")</f>
        <v xml:space="preserve">   040221</v>
      </c>
      <c r="B5837"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5837">
        <v>69970850</v>
      </c>
      <c r="D5837">
        <v>12480</v>
      </c>
    </row>
    <row r="5838" spans="1:4" x14ac:dyDescent="0.25">
      <c r="A5838" t="str">
        <f>T("   040229")</f>
        <v xml:space="preserve">   040229</v>
      </c>
      <c r="B5838"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5838">
        <v>328252372</v>
      </c>
      <c r="D5838">
        <v>67751</v>
      </c>
    </row>
    <row r="5839" spans="1:4" x14ac:dyDescent="0.25">
      <c r="A5839" t="str">
        <f>T("   040700")</f>
        <v xml:space="preserve">   040700</v>
      </c>
      <c r="B5839" t="str">
        <f>T("   Oeufs d'oiseaux, en coquilles, frais, conservés ou cuits")</f>
        <v xml:space="preserve">   Oeufs d'oiseaux, en coquilles, frais, conservés ou cuits</v>
      </c>
      <c r="C5839">
        <v>5469291</v>
      </c>
      <c r="D5839">
        <v>22137</v>
      </c>
    </row>
    <row r="5840" spans="1:4" x14ac:dyDescent="0.25">
      <c r="A5840" t="str">
        <f>T("   051191")</f>
        <v xml:space="preserve">   051191</v>
      </c>
      <c r="B5840" t="str">
        <f>T("   Produits de poissons ou de crustacés, mollusques ou autres invertébrés aquatiques; poissons, crustacés, mollusques ou autres invertébrés aquatiques, morts, impropres à l'alimentation humaine")</f>
        <v xml:space="preserve">   Produits de poissons ou de crustacés, mollusques ou autres invertébrés aquatiques; poissons, crustacés, mollusques ou autres invertébrés aquatiques, morts, impropres à l'alimentation humaine</v>
      </c>
      <c r="C5840">
        <v>6256560</v>
      </c>
      <c r="D5840">
        <v>49760</v>
      </c>
    </row>
    <row r="5841" spans="1:4" x14ac:dyDescent="0.25">
      <c r="A5841" t="str">
        <f>T("   080300")</f>
        <v xml:space="preserve">   080300</v>
      </c>
      <c r="B5841" t="str">
        <f>T("   Bananes, y.c. les plantains, fraîches ou sèches")</f>
        <v xml:space="preserve">   Bananes, y.c. les plantains, fraîches ou sèches</v>
      </c>
      <c r="C5841">
        <v>75706303</v>
      </c>
      <c r="D5841">
        <v>309402</v>
      </c>
    </row>
    <row r="5842" spans="1:4" x14ac:dyDescent="0.25">
      <c r="A5842" t="str">
        <f>T("   090190")</f>
        <v xml:space="preserve">   090190</v>
      </c>
      <c r="B5842" t="str">
        <f>T("   Coques et pellicules de café; succédanés du café contenant du café, quelles que soient les proportions du mélange")</f>
        <v xml:space="preserve">   Coques et pellicules de café; succédanés du café contenant du café, quelles que soient les proportions du mélange</v>
      </c>
      <c r="C5842">
        <v>2500000</v>
      </c>
      <c r="D5842">
        <v>5700</v>
      </c>
    </row>
    <row r="5843" spans="1:4" x14ac:dyDescent="0.25">
      <c r="A5843" t="str">
        <f>T("   090210")</f>
        <v xml:space="preserve">   090210</v>
      </c>
      <c r="B5843" t="str">
        <f>T("   Thé vert [thé non fermenté], présenté en emballages immédiats d'un contenu &lt;= 3 kg")</f>
        <v xml:space="preserve">   Thé vert [thé non fermenté], présenté en emballages immédiats d'un contenu &lt;= 3 kg</v>
      </c>
      <c r="C5843">
        <v>399490</v>
      </c>
      <c r="D5843">
        <v>4880</v>
      </c>
    </row>
    <row r="5844" spans="1:4" x14ac:dyDescent="0.25">
      <c r="A5844" t="str">
        <f>T("   091099")</f>
        <v xml:space="preserve">   091099</v>
      </c>
      <c r="B5844" t="s">
        <v>29</v>
      </c>
      <c r="C5844">
        <v>90000</v>
      </c>
      <c r="D5844">
        <v>285</v>
      </c>
    </row>
    <row r="5845" spans="1:4" x14ac:dyDescent="0.25">
      <c r="A5845" t="str">
        <f>T("   110100")</f>
        <v xml:space="preserve">   110100</v>
      </c>
      <c r="B5845" t="str">
        <f>T("   Farines de froment [blé] ou de méteil")</f>
        <v xml:space="preserve">   Farines de froment [blé] ou de méteil</v>
      </c>
      <c r="C5845">
        <v>326749445.13599998</v>
      </c>
      <c r="D5845">
        <v>1000011.01</v>
      </c>
    </row>
    <row r="5846" spans="1:4" x14ac:dyDescent="0.25">
      <c r="A5846" t="str">
        <f>T("   151110")</f>
        <v xml:space="preserve">   151110</v>
      </c>
      <c r="B5846" t="str">
        <f>T("   Huile de palme, brute")</f>
        <v xml:space="preserve">   Huile de palme, brute</v>
      </c>
      <c r="C5846">
        <v>68972250</v>
      </c>
      <c r="D5846">
        <v>275889</v>
      </c>
    </row>
    <row r="5847" spans="1:4" x14ac:dyDescent="0.25">
      <c r="A5847" t="str">
        <f>T("   151190")</f>
        <v xml:space="preserve">   151190</v>
      </c>
      <c r="B5847" t="str">
        <f>T("   Huile de palme et ses fractions, même raffinées, mais non chimiquement modifiées (à l'excl. de l'huile de palme brute)")</f>
        <v xml:space="preserve">   Huile de palme et ses fractions, même raffinées, mais non chimiquement modifiées (à l'excl. de l'huile de palme brute)</v>
      </c>
      <c r="C5847">
        <v>708307061.33800006</v>
      </c>
      <c r="D5847">
        <v>2355322.2000000002</v>
      </c>
    </row>
    <row r="5848" spans="1:4" x14ac:dyDescent="0.25">
      <c r="A5848" t="str">
        <f>T("   151229")</f>
        <v xml:space="preserve">   151229</v>
      </c>
      <c r="B5848"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5848">
        <v>25525000</v>
      </c>
      <c r="D5848">
        <v>99800</v>
      </c>
    </row>
    <row r="5849" spans="1:4" x14ac:dyDescent="0.25">
      <c r="A5849" t="str">
        <f>T("   151620")</f>
        <v xml:space="preserve">   151620</v>
      </c>
      <c r="B584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5849">
        <v>500753348</v>
      </c>
      <c r="D5849">
        <v>1517116</v>
      </c>
    </row>
    <row r="5850" spans="1:4" x14ac:dyDescent="0.25">
      <c r="A5850" t="str">
        <f>T("   170199")</f>
        <v xml:space="preserve">   170199</v>
      </c>
      <c r="B5850"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5850">
        <v>63683374.351999998</v>
      </c>
      <c r="D5850">
        <v>150000</v>
      </c>
    </row>
    <row r="5851" spans="1:4" x14ac:dyDescent="0.25">
      <c r="A5851" t="str">
        <f>T("   170490")</f>
        <v xml:space="preserve">   170490</v>
      </c>
      <c r="B5851" t="str">
        <f>T("   Sucreries sans cacao, y.c. le chocolat blanc (à l'excl. des gommes à mâcher)")</f>
        <v xml:space="preserve">   Sucreries sans cacao, y.c. le chocolat blanc (à l'excl. des gommes à mâcher)</v>
      </c>
      <c r="C5851">
        <v>45610249</v>
      </c>
      <c r="D5851">
        <v>229100</v>
      </c>
    </row>
    <row r="5852" spans="1:4" x14ac:dyDescent="0.25">
      <c r="A5852" t="str">
        <f>T("   180610")</f>
        <v xml:space="preserve">   180610</v>
      </c>
      <c r="B5852" t="str">
        <f>T("   Poudre de cacao, additionnée de sucre ou d'autres édulcorants")</f>
        <v xml:space="preserve">   Poudre de cacao, additionnée de sucre ou d'autres édulcorants</v>
      </c>
      <c r="C5852">
        <v>3000000</v>
      </c>
      <c r="D5852">
        <v>12500</v>
      </c>
    </row>
    <row r="5853" spans="1:4" x14ac:dyDescent="0.25">
      <c r="A5853" t="str">
        <f>T("   190219")</f>
        <v xml:space="preserve">   190219</v>
      </c>
      <c r="B5853" t="str">
        <f>T("   PÂTES ALIMENTAIRES NON-CUITES NI FARCIES NI AUTREMENT PRÉPARÉES, NE CONTENANT PAS D'OEUFS")</f>
        <v xml:space="preserve">   PÂTES ALIMENTAIRES NON-CUITES NI FARCIES NI AUTREMENT PRÉPARÉES, NE CONTENANT PAS D'OEUFS</v>
      </c>
      <c r="C5853">
        <v>540249</v>
      </c>
      <c r="D5853">
        <v>3000</v>
      </c>
    </row>
    <row r="5854" spans="1:4" x14ac:dyDescent="0.25">
      <c r="A5854" t="str">
        <f>T("   190590")</f>
        <v xml:space="preserve">   190590</v>
      </c>
      <c r="B5854" t="s">
        <v>52</v>
      </c>
      <c r="C5854">
        <v>7300000</v>
      </c>
      <c r="D5854">
        <v>25800</v>
      </c>
    </row>
    <row r="5855" spans="1:4" x14ac:dyDescent="0.25">
      <c r="A5855" t="str">
        <f>T("   200710")</f>
        <v xml:space="preserve">   200710</v>
      </c>
      <c r="B5855" t="s">
        <v>54</v>
      </c>
      <c r="C5855">
        <v>5700000</v>
      </c>
      <c r="D5855">
        <v>44400</v>
      </c>
    </row>
    <row r="5856" spans="1:4" x14ac:dyDescent="0.25">
      <c r="A5856" t="str">
        <f>T("   200990")</f>
        <v xml:space="preserve">   200990</v>
      </c>
      <c r="B585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856">
        <v>16046416</v>
      </c>
      <c r="D5856">
        <v>179465</v>
      </c>
    </row>
    <row r="5857" spans="1:4" x14ac:dyDescent="0.25">
      <c r="A5857" t="str">
        <f>T("   210410")</f>
        <v xml:space="preserve">   210410</v>
      </c>
      <c r="B5857" t="str">
        <f>T("   Préparations pour soupes, potages ou bouillons; soupes, potages ou bouillons préparés")</f>
        <v xml:space="preserve">   Préparations pour soupes, potages ou bouillons; soupes, potages ou bouillons préparés</v>
      </c>
      <c r="C5857">
        <v>1000000</v>
      </c>
      <c r="D5857">
        <v>15000</v>
      </c>
    </row>
    <row r="5858" spans="1:4" x14ac:dyDescent="0.25">
      <c r="A5858" t="str">
        <f>T("   220110")</f>
        <v xml:space="preserve">   220110</v>
      </c>
      <c r="B5858" t="str">
        <f>T("   Eaux minérales et eaux gazéifiées, non additionnées de sucre ou d'autres édulcorants ni aromatisées")</f>
        <v xml:space="preserve">   Eaux minérales et eaux gazéifiées, non additionnées de sucre ou d'autres édulcorants ni aromatisées</v>
      </c>
      <c r="C5858">
        <v>3000000</v>
      </c>
      <c r="D5858">
        <v>40600</v>
      </c>
    </row>
    <row r="5859" spans="1:4" x14ac:dyDescent="0.25">
      <c r="A5859" t="str">
        <f>T("   220210")</f>
        <v xml:space="preserve">   220210</v>
      </c>
      <c r="B585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859">
        <v>280000</v>
      </c>
      <c r="D5859">
        <v>483</v>
      </c>
    </row>
    <row r="5860" spans="1:4" x14ac:dyDescent="0.25">
      <c r="A5860" t="str">
        <f>T("   220290")</f>
        <v xml:space="preserve">   220290</v>
      </c>
      <c r="B5860" t="str">
        <f>T("   BOISSONS NON-ALCOOLIQUES (À L'EXCL. DES EAUX, DES JUS DE FRUITS OU DE LÉGUMES AINSI QUE DU LAIT)")</f>
        <v xml:space="preserve">   BOISSONS NON-ALCOOLIQUES (À L'EXCL. DES EAUX, DES JUS DE FRUITS OU DE LÉGUMES AINSI QUE DU LAIT)</v>
      </c>
      <c r="C5860">
        <v>400000</v>
      </c>
      <c r="D5860">
        <v>2555</v>
      </c>
    </row>
    <row r="5861" spans="1:4" x14ac:dyDescent="0.25">
      <c r="A5861" t="str">
        <f>T("   220710")</f>
        <v xml:space="preserve">   220710</v>
      </c>
      <c r="B5861" t="str">
        <f>T("   Alcool éthylique non dénaturé d'un titre alcoométrique volumique &gt;= 80% vol")</f>
        <v xml:space="preserve">   Alcool éthylique non dénaturé d'un titre alcoométrique volumique &gt;= 80% vol</v>
      </c>
      <c r="C5861">
        <v>1000000</v>
      </c>
      <c r="D5861">
        <v>5500</v>
      </c>
    </row>
    <row r="5862" spans="1:4" x14ac:dyDescent="0.25">
      <c r="A5862" t="str">
        <f>T("   220830")</f>
        <v xml:space="preserve">   220830</v>
      </c>
      <c r="B5862" t="str">
        <f>T("   Whiskies")</f>
        <v xml:space="preserve">   Whiskies</v>
      </c>
      <c r="C5862">
        <v>2042819</v>
      </c>
      <c r="D5862">
        <v>19050</v>
      </c>
    </row>
    <row r="5863" spans="1:4" x14ac:dyDescent="0.25">
      <c r="A5863" t="str">
        <f>T("   220890")</f>
        <v xml:space="preserve">   220890</v>
      </c>
      <c r="B5863" t="s">
        <v>61</v>
      </c>
      <c r="C5863">
        <v>500000</v>
      </c>
      <c r="D5863">
        <v>6000</v>
      </c>
    </row>
    <row r="5864" spans="1:4" x14ac:dyDescent="0.25">
      <c r="A5864" t="str">
        <f>T("   230400")</f>
        <v xml:space="preserve">   230400</v>
      </c>
      <c r="B5864"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5864">
        <v>3597345</v>
      </c>
      <c r="D5864">
        <v>32980</v>
      </c>
    </row>
    <row r="5865" spans="1:4" x14ac:dyDescent="0.25">
      <c r="A5865" t="str">
        <f>T("   230990")</f>
        <v xml:space="preserve">   230990</v>
      </c>
      <c r="B5865"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5865">
        <v>4557632</v>
      </c>
      <c r="D5865">
        <v>14250</v>
      </c>
    </row>
    <row r="5866" spans="1:4" x14ac:dyDescent="0.25">
      <c r="A5866" t="str">
        <f>T("   250100")</f>
        <v xml:space="preserve">   250100</v>
      </c>
      <c r="B5866" t="s">
        <v>63</v>
      </c>
      <c r="C5866">
        <v>17479041</v>
      </c>
      <c r="D5866">
        <v>517120</v>
      </c>
    </row>
    <row r="5867" spans="1:4" x14ac:dyDescent="0.25">
      <c r="A5867" t="str">
        <f>T("   251110")</f>
        <v xml:space="preserve">   251110</v>
      </c>
      <c r="B5867" t="str">
        <f>T("   Sulfate de baryum naturel [barytine]")</f>
        <v xml:space="preserve">   Sulfate de baryum naturel [barytine]</v>
      </c>
      <c r="C5867">
        <v>90650929</v>
      </c>
      <c r="D5867">
        <v>5060</v>
      </c>
    </row>
    <row r="5868" spans="1:4" x14ac:dyDescent="0.25">
      <c r="A5868" t="str">
        <f>T("   252329")</f>
        <v xml:space="preserve">   252329</v>
      </c>
      <c r="B5868" t="str">
        <f>T("   Ciment Portland normal ou modéré (à l'excl. des ciments Portland blancs, même colorés artificiellement)")</f>
        <v xml:space="preserve">   Ciment Portland normal ou modéré (à l'excl. des ciments Portland blancs, même colorés artificiellement)</v>
      </c>
      <c r="C5868">
        <v>246950000</v>
      </c>
      <c r="D5868">
        <v>4110000</v>
      </c>
    </row>
    <row r="5869" spans="1:4" x14ac:dyDescent="0.25">
      <c r="A5869" t="str">
        <f>T("   271019")</f>
        <v xml:space="preserve">   271019</v>
      </c>
      <c r="B5869" t="str">
        <f>T("   Huiles moyennes et préparations, de pétrole ou de minéraux bitumineux, n.d.a.")</f>
        <v xml:space="preserve">   Huiles moyennes et préparations, de pétrole ou de minéraux bitumineux, n.d.a.</v>
      </c>
      <c r="C5869">
        <v>68422303</v>
      </c>
      <c r="D5869">
        <v>439080</v>
      </c>
    </row>
    <row r="5870" spans="1:4" x14ac:dyDescent="0.25">
      <c r="A5870" t="str">
        <f>T("   271113")</f>
        <v xml:space="preserve">   271113</v>
      </c>
      <c r="B5870" t="str">
        <f>T("   Butanes, liquéfiés (à l'excl. des butanes d'une pureté &gt;= 95% en n-butane ou en isobutane)")</f>
        <v xml:space="preserve">   Butanes, liquéfiés (à l'excl. des butanes d'une pureté &gt;= 95% en n-butane ou en isobutane)</v>
      </c>
      <c r="C5870">
        <v>1593900</v>
      </c>
      <c r="D5870">
        <v>4554</v>
      </c>
    </row>
    <row r="5871" spans="1:4" x14ac:dyDescent="0.25">
      <c r="A5871" t="str">
        <f>T("   280421")</f>
        <v xml:space="preserve">   280421</v>
      </c>
      <c r="B5871" t="str">
        <f>T("   Argon")</f>
        <v xml:space="preserve">   Argon</v>
      </c>
      <c r="C5871">
        <v>4596161</v>
      </c>
      <c r="D5871">
        <v>8420</v>
      </c>
    </row>
    <row r="5872" spans="1:4" x14ac:dyDescent="0.25">
      <c r="A5872" t="str">
        <f>T("   280430")</f>
        <v xml:space="preserve">   280430</v>
      </c>
      <c r="B5872" t="str">
        <f>T("   Azote")</f>
        <v xml:space="preserve">   Azote</v>
      </c>
      <c r="C5872">
        <v>64560803</v>
      </c>
      <c r="D5872">
        <v>75112</v>
      </c>
    </row>
    <row r="5873" spans="1:4" x14ac:dyDescent="0.25">
      <c r="A5873" t="str">
        <f>T("   282720")</f>
        <v xml:space="preserve">   282720</v>
      </c>
      <c r="B5873" t="str">
        <f>T("   Chlorure de calcium")</f>
        <v xml:space="preserve">   Chlorure de calcium</v>
      </c>
      <c r="C5873">
        <v>1980730</v>
      </c>
      <c r="D5873">
        <v>340</v>
      </c>
    </row>
    <row r="5874" spans="1:4" x14ac:dyDescent="0.25">
      <c r="A5874" t="str">
        <f>T("   282890")</f>
        <v xml:space="preserve">   282890</v>
      </c>
      <c r="B5874" t="str">
        <f>T("   Hypochlorites, chlorites et hypobromites (à l'excl. des hypochlorites de calcium)")</f>
        <v xml:space="preserve">   Hypochlorites, chlorites et hypobromites (à l'excl. des hypochlorites de calcium)</v>
      </c>
      <c r="C5874">
        <v>12246715</v>
      </c>
      <c r="D5874">
        <v>24930</v>
      </c>
    </row>
    <row r="5875" spans="1:4" x14ac:dyDescent="0.25">
      <c r="A5875" t="str">
        <f>T("   283650")</f>
        <v xml:space="preserve">   283650</v>
      </c>
      <c r="B5875" t="str">
        <f>T("   Carbonate de calcium")</f>
        <v xml:space="preserve">   Carbonate de calcium</v>
      </c>
      <c r="C5875">
        <v>1255998</v>
      </c>
      <c r="D5875">
        <v>10000</v>
      </c>
    </row>
    <row r="5876" spans="1:4" x14ac:dyDescent="0.25">
      <c r="A5876" t="str">
        <f>T("   290110")</f>
        <v xml:space="preserve">   290110</v>
      </c>
      <c r="B5876" t="str">
        <f>T("   Hydrocarbures acycliques, saturés")</f>
        <v xml:space="preserve">   Hydrocarbures acycliques, saturés</v>
      </c>
      <c r="C5876">
        <v>737640</v>
      </c>
      <c r="D5876">
        <v>900</v>
      </c>
    </row>
    <row r="5877" spans="1:4" x14ac:dyDescent="0.25">
      <c r="A5877" t="str">
        <f>T("   290312")</f>
        <v xml:space="preserve">   290312</v>
      </c>
      <c r="B5877" t="str">
        <f>T("   Dichlorométhane [chlorure de méthylène]")</f>
        <v xml:space="preserve">   Dichlorométhane [chlorure de méthylène]</v>
      </c>
      <c r="C5877">
        <v>2713039</v>
      </c>
      <c r="D5877">
        <v>4505</v>
      </c>
    </row>
    <row r="5878" spans="1:4" x14ac:dyDescent="0.25">
      <c r="A5878" t="str">
        <f>T("   291590")</f>
        <v xml:space="preserve">   291590</v>
      </c>
      <c r="B5878" t="s">
        <v>69</v>
      </c>
      <c r="C5878">
        <v>1636102</v>
      </c>
      <c r="D5878">
        <v>825</v>
      </c>
    </row>
    <row r="5879" spans="1:4" x14ac:dyDescent="0.25">
      <c r="A5879" t="str">
        <f>T("   292242")</f>
        <v xml:space="preserve">   292242</v>
      </c>
      <c r="B5879" t="str">
        <f>T("   Acide glutamique et ses sels")</f>
        <v xml:space="preserve">   Acide glutamique et ses sels</v>
      </c>
      <c r="C5879">
        <v>6500000</v>
      </c>
      <c r="D5879">
        <v>28000</v>
      </c>
    </row>
    <row r="5880" spans="1:4" x14ac:dyDescent="0.25">
      <c r="A5880" t="str">
        <f>T("   300420")</f>
        <v xml:space="preserve">   300420</v>
      </c>
      <c r="B5880" t="s">
        <v>79</v>
      </c>
      <c r="C5880">
        <v>55792911</v>
      </c>
      <c r="D5880">
        <v>19679</v>
      </c>
    </row>
    <row r="5881" spans="1:4" x14ac:dyDescent="0.25">
      <c r="A5881" t="str">
        <f>T("   300439")</f>
        <v xml:space="preserve">   300439</v>
      </c>
      <c r="B5881" t="s">
        <v>81</v>
      </c>
      <c r="C5881">
        <v>3158500</v>
      </c>
      <c r="D5881">
        <v>30700</v>
      </c>
    </row>
    <row r="5882" spans="1:4" x14ac:dyDescent="0.25">
      <c r="A5882" t="str">
        <f>T("   300490")</f>
        <v xml:space="preserve">   300490</v>
      </c>
      <c r="B5882" t="s">
        <v>84</v>
      </c>
      <c r="C5882">
        <v>37149592</v>
      </c>
      <c r="D5882">
        <v>36523.5</v>
      </c>
    </row>
    <row r="5883" spans="1:4" x14ac:dyDescent="0.25">
      <c r="A5883" t="str">
        <f>T("   320414")</f>
        <v xml:space="preserve">   320414</v>
      </c>
      <c r="B5883" t="s">
        <v>94</v>
      </c>
      <c r="C5883">
        <v>1147448</v>
      </c>
      <c r="D5883">
        <v>3000</v>
      </c>
    </row>
    <row r="5884" spans="1:4" x14ac:dyDescent="0.25">
      <c r="A5884" t="str">
        <f>T("   320820")</f>
        <v xml:space="preserve">   320820</v>
      </c>
      <c r="B5884" t="s">
        <v>101</v>
      </c>
      <c r="C5884">
        <v>355901528</v>
      </c>
      <c r="D5884">
        <v>1729392</v>
      </c>
    </row>
    <row r="5885" spans="1:4" x14ac:dyDescent="0.25">
      <c r="A5885" t="str">
        <f>T("   320910")</f>
        <v xml:space="preserve">   320910</v>
      </c>
      <c r="B5885" t="str">
        <f>T("   Peintures et vernis à base de polymères acryliques ou vinyliques, dispersés ou dissous dans un milieu aqueux")</f>
        <v xml:space="preserve">   Peintures et vernis à base de polymères acryliques ou vinyliques, dispersés ou dissous dans un milieu aqueux</v>
      </c>
      <c r="C5885">
        <v>60699585</v>
      </c>
      <c r="D5885">
        <v>411920</v>
      </c>
    </row>
    <row r="5886" spans="1:4" x14ac:dyDescent="0.25">
      <c r="A5886" t="str">
        <f>T("   330499")</f>
        <v xml:space="preserve">   330499</v>
      </c>
      <c r="B5886" t="s">
        <v>106</v>
      </c>
      <c r="C5886">
        <v>338268737</v>
      </c>
      <c r="D5886">
        <v>984525</v>
      </c>
    </row>
    <row r="5887" spans="1:4" x14ac:dyDescent="0.25">
      <c r="A5887" t="str">
        <f>T("   330590")</f>
        <v xml:space="preserve">   330590</v>
      </c>
      <c r="B5887"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5887">
        <v>2000000</v>
      </c>
      <c r="D5887">
        <v>9500</v>
      </c>
    </row>
    <row r="5888" spans="1:4" x14ac:dyDescent="0.25">
      <c r="A5888" t="str">
        <f>T("   330610")</f>
        <v xml:space="preserve">   330610</v>
      </c>
      <c r="B5888" t="str">
        <f>T("   Dentifrices, préparés, même des types utilisés par les dentistes")</f>
        <v xml:space="preserve">   Dentifrices, préparés, même des types utilisés par les dentistes</v>
      </c>
      <c r="C5888">
        <v>166045986</v>
      </c>
      <c r="D5888">
        <v>665026</v>
      </c>
    </row>
    <row r="5889" spans="1:4" x14ac:dyDescent="0.25">
      <c r="A5889" t="str">
        <f>T("   330690")</f>
        <v xml:space="preserve">   330690</v>
      </c>
      <c r="B5889"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5889">
        <v>11262660</v>
      </c>
      <c r="D5889">
        <v>32076</v>
      </c>
    </row>
    <row r="5890" spans="1:4" x14ac:dyDescent="0.25">
      <c r="A5890" t="str">
        <f>T("   340111")</f>
        <v xml:space="preserve">   340111</v>
      </c>
      <c r="B5890" t="s">
        <v>107</v>
      </c>
      <c r="C5890">
        <v>17501200</v>
      </c>
      <c r="D5890">
        <v>33600</v>
      </c>
    </row>
    <row r="5891" spans="1:4" x14ac:dyDescent="0.25">
      <c r="A5891" t="str">
        <f>T("   340119")</f>
        <v xml:space="preserve">   340119</v>
      </c>
      <c r="B5891" t="s">
        <v>108</v>
      </c>
      <c r="C5891">
        <v>15087692</v>
      </c>
      <c r="D5891">
        <v>64695</v>
      </c>
    </row>
    <row r="5892" spans="1:4" x14ac:dyDescent="0.25">
      <c r="A5892" t="str">
        <f>T("   340120")</f>
        <v xml:space="preserve">   340120</v>
      </c>
      <c r="B5892" t="str">
        <f>T("   Savons en flocons, en paillettes, en granulés ou en poudres et savons liquides ou pâteux")</f>
        <v xml:space="preserve">   Savons en flocons, en paillettes, en granulés ou en poudres et savons liquides ou pâteux</v>
      </c>
      <c r="C5892">
        <v>36787254</v>
      </c>
      <c r="D5892">
        <v>186480</v>
      </c>
    </row>
    <row r="5893" spans="1:4" x14ac:dyDescent="0.25">
      <c r="A5893" t="str">
        <f>T("   340290")</f>
        <v xml:space="preserve">   340290</v>
      </c>
      <c r="B5893" t="s">
        <v>110</v>
      </c>
      <c r="C5893">
        <v>43482551</v>
      </c>
      <c r="D5893">
        <v>77740</v>
      </c>
    </row>
    <row r="5894" spans="1:4" x14ac:dyDescent="0.25">
      <c r="A5894" t="str">
        <f>T("   350610")</f>
        <v xml:space="preserve">   350610</v>
      </c>
      <c r="B589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5894">
        <v>2026937</v>
      </c>
      <c r="D5894">
        <v>2000</v>
      </c>
    </row>
    <row r="5895" spans="1:4" x14ac:dyDescent="0.25">
      <c r="A5895" t="str">
        <f>T("   380850")</f>
        <v xml:space="preserve">   380850</v>
      </c>
      <c r="B5895" t="s">
        <v>125</v>
      </c>
      <c r="C5895">
        <v>17400000</v>
      </c>
      <c r="D5895">
        <v>97860</v>
      </c>
    </row>
    <row r="5896" spans="1:4" x14ac:dyDescent="0.25">
      <c r="A5896" t="str">
        <f>T("   381400")</f>
        <v xml:space="preserve">   381400</v>
      </c>
      <c r="B589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896">
        <v>49535613</v>
      </c>
      <c r="D5896">
        <v>233126</v>
      </c>
    </row>
    <row r="5897" spans="1:4" x14ac:dyDescent="0.25">
      <c r="A5897" t="str">
        <f>T("   382200")</f>
        <v xml:space="preserve">   382200</v>
      </c>
      <c r="B5897" t="s">
        <v>133</v>
      </c>
      <c r="C5897">
        <v>2699469</v>
      </c>
      <c r="D5897">
        <v>62</v>
      </c>
    </row>
    <row r="5898" spans="1:4" x14ac:dyDescent="0.25">
      <c r="A5898" t="str">
        <f>T("   390720")</f>
        <v xml:space="preserve">   390720</v>
      </c>
      <c r="B5898" t="str">
        <f>T("   Polyéthers, sous formes primaires (à l'excl. des polyacétals)")</f>
        <v xml:space="preserve">   Polyéthers, sous formes primaires (à l'excl. des polyacétals)</v>
      </c>
      <c r="C5898">
        <v>59844645</v>
      </c>
      <c r="D5898">
        <v>48760</v>
      </c>
    </row>
    <row r="5899" spans="1:4" x14ac:dyDescent="0.25">
      <c r="A5899" t="str">
        <f>T("   391723")</f>
        <v xml:space="preserve">   391723</v>
      </c>
      <c r="B5899" t="str">
        <f>T("   TUBES ET TUYAUX RIGIDES, EN POLYMÈRES DU CHLORURE DE VINYLE")</f>
        <v xml:space="preserve">   TUBES ET TUYAUX RIGIDES, EN POLYMÈRES DU CHLORURE DE VINYLE</v>
      </c>
      <c r="C5899">
        <v>407988802</v>
      </c>
      <c r="D5899">
        <v>547032</v>
      </c>
    </row>
    <row r="5900" spans="1:4" x14ac:dyDescent="0.25">
      <c r="A5900" t="str">
        <f>T("   391729")</f>
        <v xml:space="preserve">   391729</v>
      </c>
      <c r="B5900"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5900">
        <v>98400</v>
      </c>
      <c r="D5900">
        <v>600</v>
      </c>
    </row>
    <row r="5901" spans="1:4" x14ac:dyDescent="0.25">
      <c r="A5901" t="str">
        <f>T("   391731")</f>
        <v xml:space="preserve">   391731</v>
      </c>
      <c r="B5901" t="str">
        <f>T("   Tubes et tuyaux souples, en matières plastiques, pouvant supporter une pression &gt;= 27,6 MPa, même munis d'accessoires")</f>
        <v xml:space="preserve">   Tubes et tuyaux souples, en matières plastiques, pouvant supporter une pression &gt;= 27,6 MPa, même munis d'accessoires</v>
      </c>
      <c r="C5901">
        <v>10940775</v>
      </c>
      <c r="D5901">
        <v>6790</v>
      </c>
    </row>
    <row r="5902" spans="1:4" x14ac:dyDescent="0.25">
      <c r="A5902" t="str">
        <f>T("   391732")</f>
        <v xml:space="preserve">   391732</v>
      </c>
      <c r="B5902"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5902">
        <v>370757</v>
      </c>
      <c r="D5902">
        <v>4881</v>
      </c>
    </row>
    <row r="5903" spans="1:4" x14ac:dyDescent="0.25">
      <c r="A5903" t="str">
        <f>T("   391739")</f>
        <v xml:space="preserve">   391739</v>
      </c>
      <c r="B590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5903">
        <v>824679</v>
      </c>
      <c r="D5903">
        <v>3200</v>
      </c>
    </row>
    <row r="5904" spans="1:4" x14ac:dyDescent="0.25">
      <c r="A5904" t="str">
        <f>T("   391740")</f>
        <v xml:space="preserve">   391740</v>
      </c>
      <c r="B5904" t="str">
        <f>T("   Accessoires pour tubes ou tuyaux [joints, coudes, raccords, par exemple], en matières plastiques")</f>
        <v xml:space="preserve">   Accessoires pour tubes ou tuyaux [joints, coudes, raccords, par exemple], en matières plastiques</v>
      </c>
      <c r="C5904">
        <v>18743636</v>
      </c>
      <c r="D5904">
        <v>4105</v>
      </c>
    </row>
    <row r="5905" spans="1:4" x14ac:dyDescent="0.25">
      <c r="A5905" t="str">
        <f>T("   391890")</f>
        <v xml:space="preserve">   391890</v>
      </c>
      <c r="B5905" t="s">
        <v>138</v>
      </c>
      <c r="C5905">
        <v>944523</v>
      </c>
      <c r="D5905">
        <v>1888</v>
      </c>
    </row>
    <row r="5906" spans="1:4" x14ac:dyDescent="0.25">
      <c r="A5906" t="str">
        <f>T("   392010")</f>
        <v xml:space="preserve">   392010</v>
      </c>
      <c r="B5906" t="s">
        <v>140</v>
      </c>
      <c r="C5906">
        <v>13500000</v>
      </c>
      <c r="D5906">
        <v>6115</v>
      </c>
    </row>
    <row r="5907" spans="1:4" x14ac:dyDescent="0.25">
      <c r="A5907" t="str">
        <f>T("   392111")</f>
        <v xml:space="preserve">   392111</v>
      </c>
      <c r="B5907" t="s">
        <v>151</v>
      </c>
      <c r="C5907">
        <v>1600000</v>
      </c>
      <c r="D5907">
        <v>1500</v>
      </c>
    </row>
    <row r="5908" spans="1:4" x14ac:dyDescent="0.25">
      <c r="A5908" t="str">
        <f>T("   392310")</f>
        <v xml:space="preserve">   392310</v>
      </c>
      <c r="B5908" t="str">
        <f>T("   Boîtes, caisses, casiers et articles simil. pour le transport ou l'emballage, en matières plastiques")</f>
        <v xml:space="preserve">   Boîtes, caisses, casiers et articles simil. pour le transport ou l'emballage, en matières plastiques</v>
      </c>
      <c r="C5908">
        <v>12035441</v>
      </c>
      <c r="D5908">
        <v>8147</v>
      </c>
    </row>
    <row r="5909" spans="1:4" x14ac:dyDescent="0.25">
      <c r="A5909" t="str">
        <f>T("   392329")</f>
        <v xml:space="preserve">   392329</v>
      </c>
      <c r="B5909" t="str">
        <f>T("   Sacs, sachets, pochettes et cornets, en matières plastiques (autres que les polymères de l'éthylène)")</f>
        <v xml:space="preserve">   Sacs, sachets, pochettes et cornets, en matières plastiques (autres que les polymères de l'éthylène)</v>
      </c>
      <c r="C5909">
        <v>27256995</v>
      </c>
      <c r="D5909">
        <v>72052.55</v>
      </c>
    </row>
    <row r="5910" spans="1:4" x14ac:dyDescent="0.25">
      <c r="A5910" t="str">
        <f>T("   392330")</f>
        <v xml:space="preserve">   392330</v>
      </c>
      <c r="B5910" t="str">
        <f>T("   Bonbonnes, bouteilles, flacons et articles simil. pour le transport ou l'emballage, en matières plastiques")</f>
        <v xml:space="preserve">   Bonbonnes, bouteilles, flacons et articles simil. pour le transport ou l'emballage, en matières plastiques</v>
      </c>
      <c r="C5910">
        <v>14806768</v>
      </c>
      <c r="D5910">
        <v>13000</v>
      </c>
    </row>
    <row r="5911" spans="1:4" x14ac:dyDescent="0.25">
      <c r="A5911" t="str">
        <f>T("   392390")</f>
        <v xml:space="preserve">   392390</v>
      </c>
      <c r="B5911" t="s">
        <v>156</v>
      </c>
      <c r="C5911">
        <v>700000</v>
      </c>
      <c r="D5911">
        <v>1850</v>
      </c>
    </row>
    <row r="5912" spans="1:4" x14ac:dyDescent="0.25">
      <c r="A5912" t="str">
        <f>T("   392410")</f>
        <v xml:space="preserve">   392410</v>
      </c>
      <c r="B5912" t="str">
        <f>T("   Vaisselle et autres articles pour le service de la table ou de la cuisine, en matières plastiques")</f>
        <v xml:space="preserve">   Vaisselle et autres articles pour le service de la table ou de la cuisine, en matières plastiques</v>
      </c>
      <c r="C5912">
        <v>11607511</v>
      </c>
      <c r="D5912">
        <v>11776</v>
      </c>
    </row>
    <row r="5913" spans="1:4" x14ac:dyDescent="0.25">
      <c r="A5913" t="str">
        <f>T("   392490")</f>
        <v xml:space="preserve">   392490</v>
      </c>
      <c r="B5913" t="s">
        <v>157</v>
      </c>
      <c r="C5913">
        <v>141966042</v>
      </c>
      <c r="D5913">
        <v>310464</v>
      </c>
    </row>
    <row r="5914" spans="1:4" x14ac:dyDescent="0.25">
      <c r="A5914" t="str">
        <f>T("   392510")</f>
        <v xml:space="preserve">   392510</v>
      </c>
      <c r="B5914" t="str">
        <f>T("   Réservoirs, foudres, cuves et récipients analogues, en matières plastiques, d'une contenance &gt; 300 l")</f>
        <v xml:space="preserve">   Réservoirs, foudres, cuves et récipients analogues, en matières plastiques, d'une contenance &gt; 300 l</v>
      </c>
      <c r="C5914">
        <v>972316</v>
      </c>
      <c r="D5914">
        <v>540</v>
      </c>
    </row>
    <row r="5915" spans="1:4" x14ac:dyDescent="0.25">
      <c r="A5915" t="str">
        <f>T("   392520")</f>
        <v xml:space="preserve">   392520</v>
      </c>
      <c r="B5915" t="str">
        <f>T("   Portes, fenêtres et leurs cadres, chambranles et seuils, en matières plastiques")</f>
        <v xml:space="preserve">   Portes, fenêtres et leurs cadres, chambranles et seuils, en matières plastiques</v>
      </c>
      <c r="C5915">
        <v>334480</v>
      </c>
      <c r="D5915">
        <v>72</v>
      </c>
    </row>
    <row r="5916" spans="1:4" x14ac:dyDescent="0.25">
      <c r="A5916" t="str">
        <f>T("   392590")</f>
        <v xml:space="preserve">   392590</v>
      </c>
      <c r="B5916" t="s">
        <v>158</v>
      </c>
      <c r="C5916">
        <v>29939114</v>
      </c>
      <c r="D5916">
        <v>22841</v>
      </c>
    </row>
    <row r="5917" spans="1:4" x14ac:dyDescent="0.25">
      <c r="A5917" t="str">
        <f>T("   392690")</f>
        <v xml:space="preserve">   392690</v>
      </c>
      <c r="B5917" t="str">
        <f>T("   Ouvrages en matières plastiques et ouvrages en autres matières du n° 3901 à 3914, n.d.a.")</f>
        <v xml:space="preserve">   Ouvrages en matières plastiques et ouvrages en autres matières du n° 3901 à 3914, n.d.a.</v>
      </c>
      <c r="C5917">
        <v>377177</v>
      </c>
      <c r="D5917">
        <v>13</v>
      </c>
    </row>
    <row r="5918" spans="1:4" x14ac:dyDescent="0.25">
      <c r="A5918" t="str">
        <f>T("   401140")</f>
        <v xml:space="preserve">   401140</v>
      </c>
      <c r="B5918" t="str">
        <f>T("   Pneumatiques neufs, en caoutchouc, des types utilisés pour les motocycles")</f>
        <v xml:space="preserve">   Pneumatiques neufs, en caoutchouc, des types utilisés pour les motocycles</v>
      </c>
      <c r="C5918">
        <v>550000</v>
      </c>
      <c r="D5918">
        <v>991</v>
      </c>
    </row>
    <row r="5919" spans="1:4" x14ac:dyDescent="0.25">
      <c r="A5919" t="str">
        <f>T("   420219")</f>
        <v xml:space="preserve">   420219</v>
      </c>
      <c r="B5919" t="s">
        <v>171</v>
      </c>
      <c r="C5919">
        <v>3462741</v>
      </c>
      <c r="D5919">
        <v>6664</v>
      </c>
    </row>
    <row r="5920" spans="1:4" x14ac:dyDescent="0.25">
      <c r="A5920" t="str">
        <f>T("   420229")</f>
        <v xml:space="preserve">   420229</v>
      </c>
      <c r="B592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920">
        <v>6697347</v>
      </c>
      <c r="D5920">
        <v>29705</v>
      </c>
    </row>
    <row r="5921" spans="1:4" x14ac:dyDescent="0.25">
      <c r="A5921" t="str">
        <f>T("   420231")</f>
        <v xml:space="preserve">   420231</v>
      </c>
      <c r="B5921" t="str">
        <f>T("   Portefeuilles, porte-monnaie, étuis à clés ou à cigarettes, blagues à tabac et articles simil. de poche ou de sac à main, à surface extérieure en cuir naturel, en cuir reconstitué ou en cuir verni")</f>
        <v xml:space="preserve">   Portefeuilles, porte-monnaie, étuis à clés ou à cigarettes, blagues à tabac et articles simil. de poche ou de sac à main, à surface extérieure en cuir naturel, en cuir reconstitué ou en cuir verni</v>
      </c>
      <c r="C5921">
        <v>870000</v>
      </c>
      <c r="D5921">
        <v>1500</v>
      </c>
    </row>
    <row r="5922" spans="1:4" x14ac:dyDescent="0.25">
      <c r="A5922" t="str">
        <f>T("   420292")</f>
        <v xml:space="preserve">   420292</v>
      </c>
      <c r="B5922" t="s">
        <v>173</v>
      </c>
      <c r="C5922">
        <v>2849275</v>
      </c>
      <c r="D5922">
        <v>12457</v>
      </c>
    </row>
    <row r="5923" spans="1:4" x14ac:dyDescent="0.25">
      <c r="A5923" t="str">
        <f>T("   441199")</f>
        <v xml:space="preserve">   441199</v>
      </c>
      <c r="B5923" t="s">
        <v>189</v>
      </c>
      <c r="C5923">
        <v>9750000</v>
      </c>
      <c r="D5923">
        <v>32500</v>
      </c>
    </row>
    <row r="5924" spans="1:4" x14ac:dyDescent="0.25">
      <c r="A5924" t="str">
        <f>T("   441213")</f>
        <v xml:space="preserve">   441213</v>
      </c>
      <c r="B5924" t="s">
        <v>192</v>
      </c>
      <c r="C5924">
        <v>24942935</v>
      </c>
      <c r="D5924">
        <v>76720</v>
      </c>
    </row>
    <row r="5925" spans="1:4" x14ac:dyDescent="0.25">
      <c r="A5925" t="str">
        <f>T("   441231")</f>
        <v xml:space="preserve">   441231</v>
      </c>
      <c r="B5925" t="s">
        <v>195</v>
      </c>
      <c r="C5925">
        <v>47049927</v>
      </c>
      <c r="D5925">
        <v>159196</v>
      </c>
    </row>
    <row r="5926" spans="1:4" x14ac:dyDescent="0.25">
      <c r="A5926" t="str">
        <f>T("   441239")</f>
        <v xml:space="preserve">   441239</v>
      </c>
      <c r="B5926" t="s">
        <v>197</v>
      </c>
      <c r="C5926">
        <v>222958912</v>
      </c>
      <c r="D5926">
        <v>727960</v>
      </c>
    </row>
    <row r="5927" spans="1:4" x14ac:dyDescent="0.25">
      <c r="A5927" t="str">
        <f>T("   470790")</f>
        <v xml:space="preserve">   470790</v>
      </c>
      <c r="B5927" t="s">
        <v>204</v>
      </c>
      <c r="C5927">
        <v>8494304</v>
      </c>
      <c r="D5927">
        <v>74460</v>
      </c>
    </row>
    <row r="5928" spans="1:4" x14ac:dyDescent="0.25">
      <c r="A5928" t="str">
        <f>T("   480300")</f>
        <v xml:space="preserve">   480300</v>
      </c>
      <c r="B5928" t="s">
        <v>211</v>
      </c>
      <c r="C5928">
        <v>701319</v>
      </c>
      <c r="D5928">
        <v>1800</v>
      </c>
    </row>
    <row r="5929" spans="1:4" x14ac:dyDescent="0.25">
      <c r="A5929" t="str">
        <f>T("   480439")</f>
        <v xml:space="preserve">   480439</v>
      </c>
      <c r="B5929" t="s">
        <v>213</v>
      </c>
      <c r="C5929">
        <v>427201</v>
      </c>
      <c r="D5929">
        <v>450</v>
      </c>
    </row>
    <row r="5930" spans="1:4" x14ac:dyDescent="0.25">
      <c r="A5930" t="str">
        <f>T("   481159")</f>
        <v xml:space="preserve">   481159</v>
      </c>
      <c r="B5930" t="s">
        <v>227</v>
      </c>
      <c r="C5930">
        <v>1406583</v>
      </c>
      <c r="D5930">
        <v>2060</v>
      </c>
    </row>
    <row r="5931" spans="1:4" x14ac:dyDescent="0.25">
      <c r="A5931" t="str">
        <f>T("   481810")</f>
        <v xml:space="preserve">   481810</v>
      </c>
      <c r="B5931" t="str">
        <f>T("   Papier hygiénique, en rouleaux d'une largeur &lt;= 36 cm")</f>
        <v xml:space="preserve">   Papier hygiénique, en rouleaux d'une largeur &lt;= 36 cm</v>
      </c>
      <c r="C5931">
        <v>2718460</v>
      </c>
      <c r="D5931">
        <v>2240</v>
      </c>
    </row>
    <row r="5932" spans="1:4" x14ac:dyDescent="0.25">
      <c r="A5932" t="str">
        <f>T("   481840")</f>
        <v xml:space="preserve">   481840</v>
      </c>
      <c r="B593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5932">
        <v>40260000</v>
      </c>
      <c r="D5932">
        <v>106745</v>
      </c>
    </row>
    <row r="5933" spans="1:4" x14ac:dyDescent="0.25">
      <c r="A5933" t="str">
        <f>T("   481910")</f>
        <v xml:space="preserve">   481910</v>
      </c>
      <c r="B5933" t="str">
        <f>T("   Boîtes et caisses en papier ou en carton ondulé")</f>
        <v xml:space="preserve">   Boîtes et caisses en papier ou en carton ondulé</v>
      </c>
      <c r="C5933">
        <v>165852771</v>
      </c>
      <c r="D5933">
        <v>266070.32</v>
      </c>
    </row>
    <row r="5934" spans="1:4" x14ac:dyDescent="0.25">
      <c r="A5934" t="str">
        <f>T("   481920")</f>
        <v xml:space="preserve">   481920</v>
      </c>
      <c r="B5934" t="str">
        <f>T("   Boîtes et cartonnages, pliants, en papier ou en carton non ondulé")</f>
        <v xml:space="preserve">   Boîtes et cartonnages, pliants, en papier ou en carton non ondulé</v>
      </c>
      <c r="C5934">
        <v>12206865</v>
      </c>
      <c r="D5934">
        <v>64190</v>
      </c>
    </row>
    <row r="5935" spans="1:4" x14ac:dyDescent="0.25">
      <c r="A5935" t="str">
        <f>T("   481950")</f>
        <v xml:space="preserve">   481950</v>
      </c>
      <c r="B5935" t="s">
        <v>233</v>
      </c>
      <c r="C5935">
        <v>26229767</v>
      </c>
      <c r="D5935">
        <v>22299.919999999998</v>
      </c>
    </row>
    <row r="5936" spans="1:4" x14ac:dyDescent="0.25">
      <c r="A5936" t="str">
        <f>T("   482010")</f>
        <v xml:space="preserve">   482010</v>
      </c>
      <c r="B5936"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5936">
        <v>160494</v>
      </c>
      <c r="D5936">
        <v>90</v>
      </c>
    </row>
    <row r="5937" spans="1:4" x14ac:dyDescent="0.25">
      <c r="A5937" t="str">
        <f>T("   490199")</f>
        <v xml:space="preserve">   490199</v>
      </c>
      <c r="B593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937">
        <v>2551705</v>
      </c>
      <c r="D5937">
        <v>2222</v>
      </c>
    </row>
    <row r="5938" spans="1:4" x14ac:dyDescent="0.25">
      <c r="A5938" t="str">
        <f>T("   491000")</f>
        <v xml:space="preserve">   491000</v>
      </c>
      <c r="B5938" t="str">
        <f>T("   Calendriers de tous genres, imprimés, y.c. les blocs de calendriers à effeuiller")</f>
        <v xml:space="preserve">   Calendriers de tous genres, imprimés, y.c. les blocs de calendriers à effeuiller</v>
      </c>
      <c r="C5938">
        <v>163990</v>
      </c>
      <c r="D5938">
        <v>209</v>
      </c>
    </row>
    <row r="5939" spans="1:4" x14ac:dyDescent="0.25">
      <c r="A5939" t="str">
        <f>T("   491110")</f>
        <v xml:space="preserve">   491110</v>
      </c>
      <c r="B5939" t="str">
        <f>T("   Imprimés publicitaires, catalogues commerciaux et simil.")</f>
        <v xml:space="preserve">   Imprimés publicitaires, catalogues commerciaux et simil.</v>
      </c>
      <c r="C5939">
        <v>567304</v>
      </c>
      <c r="D5939">
        <v>132</v>
      </c>
    </row>
    <row r="5940" spans="1:4" x14ac:dyDescent="0.25">
      <c r="A5940" t="str">
        <f>T("   491191")</f>
        <v xml:space="preserve">   491191</v>
      </c>
      <c r="B5940" t="str">
        <f>T("   Images, gravures et photographies, n.d.a.")</f>
        <v xml:space="preserve">   Images, gravures et photographies, n.d.a.</v>
      </c>
      <c r="C5940">
        <v>283344</v>
      </c>
      <c r="D5940">
        <v>92</v>
      </c>
    </row>
    <row r="5941" spans="1:4" x14ac:dyDescent="0.25">
      <c r="A5941" t="str">
        <f>T("   520300")</f>
        <v xml:space="preserve">   520300</v>
      </c>
      <c r="B5941" t="str">
        <f>T("   Coton, cardé ou peigné")</f>
        <v xml:space="preserve">   Coton, cardé ou peigné</v>
      </c>
      <c r="C5941">
        <v>819599</v>
      </c>
      <c r="D5941">
        <v>2500</v>
      </c>
    </row>
    <row r="5942" spans="1:4" x14ac:dyDescent="0.25">
      <c r="A5942" t="str">
        <f>T("   520852")</f>
        <v xml:space="preserve">   520852</v>
      </c>
      <c r="B5942" t="str">
        <f>T("   Tissus de coton, imprimés, à armure toile, contenant &gt;= 85% en poids de coton, d'un poids &gt; 100 g/m² mais &lt;= 200 g/m²")</f>
        <v xml:space="preserve">   Tissus de coton, imprimés, à armure toile, contenant &gt;= 85% en poids de coton, d'un poids &gt; 100 g/m² mais &lt;= 200 g/m²</v>
      </c>
      <c r="C5942">
        <v>1747518619</v>
      </c>
      <c r="D5942">
        <v>203897</v>
      </c>
    </row>
    <row r="5943" spans="1:4" x14ac:dyDescent="0.25">
      <c r="A5943" t="str">
        <f>T("   520859")</f>
        <v xml:space="preserve">   520859</v>
      </c>
      <c r="B5943" t="str">
        <f>T("   TISSUS DE COTON, IMPRIMÉS, CONTENANT &gt;= 85% EN POIDS DE COTON, D'UN POIDS &lt;= 200 G/M² (À L'EXCL. DES TISSUS À ARMURE TOILE)")</f>
        <v xml:space="preserve">   TISSUS DE COTON, IMPRIMÉS, CONTENANT &gt;= 85% EN POIDS DE COTON, D'UN POIDS &lt;= 200 G/M² (À L'EXCL. DES TISSUS À ARMURE TOILE)</v>
      </c>
      <c r="C5943">
        <v>4026532</v>
      </c>
      <c r="D5943">
        <v>10947</v>
      </c>
    </row>
    <row r="5944" spans="1:4" x14ac:dyDescent="0.25">
      <c r="A5944" t="str">
        <f>T("   520951")</f>
        <v xml:space="preserve">   520951</v>
      </c>
      <c r="B5944" t="str">
        <f>T("   Tissus de coton, imprimés, à armure toile, contenant &gt;= 85% en poids de coton, d'un poids &gt; 200 g/m²")</f>
        <v xml:space="preserve">   Tissus de coton, imprimés, à armure toile, contenant &gt;= 85% en poids de coton, d'un poids &gt; 200 g/m²</v>
      </c>
      <c r="C5944">
        <v>23089306</v>
      </c>
      <c r="D5944">
        <v>4813</v>
      </c>
    </row>
    <row r="5945" spans="1:4" x14ac:dyDescent="0.25">
      <c r="A5945" t="str">
        <f>T("   521159")</f>
        <v xml:space="preserve">   521159</v>
      </c>
      <c r="B5945" t="s">
        <v>242</v>
      </c>
      <c r="C5945">
        <v>1310760</v>
      </c>
      <c r="D5945">
        <v>2400</v>
      </c>
    </row>
    <row r="5946" spans="1:4" x14ac:dyDescent="0.25">
      <c r="A5946" t="str">
        <f>T("   530919")</f>
        <v xml:space="preserve">   530919</v>
      </c>
      <c r="B5946" t="str">
        <f>T("   Tissus de lin, contenant &gt;= 85% en poids de lin, teints ou en fils de diverses couleurs ou imprimés")</f>
        <v xml:space="preserve">   Tissus de lin, contenant &gt;= 85% en poids de lin, teints ou en fils de diverses couleurs ou imprimés</v>
      </c>
      <c r="C5946">
        <v>682023</v>
      </c>
      <c r="D5946">
        <v>2936</v>
      </c>
    </row>
    <row r="5947" spans="1:4" x14ac:dyDescent="0.25">
      <c r="A5947" t="str">
        <f>T("   551219")</f>
        <v xml:space="preserve">   551219</v>
      </c>
      <c r="B5947"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5947">
        <v>500000</v>
      </c>
      <c r="D5947">
        <v>800</v>
      </c>
    </row>
    <row r="5948" spans="1:4" x14ac:dyDescent="0.25">
      <c r="A5948" t="str">
        <f>T("   560811")</f>
        <v xml:space="preserve">   560811</v>
      </c>
      <c r="B5948"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5948">
        <v>2950138</v>
      </c>
      <c r="D5948">
        <v>8400</v>
      </c>
    </row>
    <row r="5949" spans="1:4" x14ac:dyDescent="0.25">
      <c r="A5949" t="str">
        <f>T("   560819")</f>
        <v xml:space="preserve">   560819</v>
      </c>
      <c r="B5949" t="s">
        <v>262</v>
      </c>
      <c r="C5949">
        <v>3900000</v>
      </c>
      <c r="D5949">
        <v>18700</v>
      </c>
    </row>
    <row r="5950" spans="1:4" x14ac:dyDescent="0.25">
      <c r="A5950" t="str">
        <f>T("   560890")</f>
        <v xml:space="preserve">   560890</v>
      </c>
      <c r="B5950" t="s">
        <v>263</v>
      </c>
      <c r="C5950">
        <v>6125000</v>
      </c>
      <c r="D5950">
        <v>18200</v>
      </c>
    </row>
    <row r="5951" spans="1:4" x14ac:dyDescent="0.25">
      <c r="A5951" t="str">
        <f>T("   580790")</f>
        <v xml:space="preserve">   580790</v>
      </c>
      <c r="B5951"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5951">
        <v>497874</v>
      </c>
      <c r="D5951">
        <v>17</v>
      </c>
    </row>
    <row r="5952" spans="1:4" x14ac:dyDescent="0.25">
      <c r="A5952" t="str">
        <f>T("   610990")</f>
        <v xml:space="preserve">   610990</v>
      </c>
      <c r="B5952" t="str">
        <f>T("   T-shirts et maillots de corps, en bonneterie, de matières textiles (sauf de coton)")</f>
        <v xml:space="preserve">   T-shirts et maillots de corps, en bonneterie, de matières textiles (sauf de coton)</v>
      </c>
      <c r="C5952">
        <v>7537704</v>
      </c>
      <c r="D5952">
        <v>33920</v>
      </c>
    </row>
    <row r="5953" spans="1:4" x14ac:dyDescent="0.25">
      <c r="A5953" t="str">
        <f>T("   621040")</f>
        <v xml:space="preserve">   621040</v>
      </c>
      <c r="B5953" t="s">
        <v>294</v>
      </c>
      <c r="C5953">
        <v>100401</v>
      </c>
      <c r="D5953">
        <v>172</v>
      </c>
    </row>
    <row r="5954" spans="1:4" x14ac:dyDescent="0.25">
      <c r="A5954" t="str">
        <f>T("   621111")</f>
        <v xml:space="preserve">   621111</v>
      </c>
      <c r="B5954" t="str">
        <f>T("   Maillots, culottes et slips de bain, pour hommes ou garçonnets (autres qu'en bonneterie)")</f>
        <v xml:space="preserve">   Maillots, culottes et slips de bain, pour hommes ou garçonnets (autres qu'en bonneterie)</v>
      </c>
      <c r="C5954">
        <v>52753</v>
      </c>
      <c r="D5954">
        <v>93.4</v>
      </c>
    </row>
    <row r="5955" spans="1:4" x14ac:dyDescent="0.25">
      <c r="A5955" t="str">
        <f>T("   621142")</f>
        <v xml:space="preserve">   621142</v>
      </c>
      <c r="B5955" t="str">
        <f>T("   Survêtements de sport 'trainings' et autres vêtements n.d.a., de coton, pour femmes ou fillettes (autres qu'en bonneterie)")</f>
        <v xml:space="preserve">   Survêtements de sport 'trainings' et autres vêtements n.d.a., de coton, pour femmes ou fillettes (autres qu'en bonneterie)</v>
      </c>
      <c r="C5955">
        <v>2025723</v>
      </c>
      <c r="D5955">
        <v>45</v>
      </c>
    </row>
    <row r="5956" spans="1:4" x14ac:dyDescent="0.25">
      <c r="A5956" t="str">
        <f>T("   621590")</f>
        <v xml:space="preserve">   621590</v>
      </c>
      <c r="B5956"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5956">
        <v>17424</v>
      </c>
      <c r="D5956">
        <v>20</v>
      </c>
    </row>
    <row r="5957" spans="1:4" x14ac:dyDescent="0.25">
      <c r="A5957" t="str">
        <f>T("   630190")</f>
        <v xml:space="preserve">   630190</v>
      </c>
      <c r="B5957" t="s">
        <v>297</v>
      </c>
      <c r="C5957">
        <v>6123390</v>
      </c>
      <c r="D5957">
        <v>3940</v>
      </c>
    </row>
    <row r="5958" spans="1:4" x14ac:dyDescent="0.25">
      <c r="A5958" t="str">
        <f>T("   630499")</f>
        <v xml:space="preserve">   630499</v>
      </c>
      <c r="B5958" t="s">
        <v>299</v>
      </c>
      <c r="C5958">
        <v>549020</v>
      </c>
      <c r="D5958">
        <v>2406</v>
      </c>
    </row>
    <row r="5959" spans="1:4" x14ac:dyDescent="0.25">
      <c r="A5959" t="str">
        <f>T("   630510")</f>
        <v xml:space="preserve">   630510</v>
      </c>
      <c r="B5959" t="str">
        <f>T("   Sacs et sachets d'emballage de jute ou d'autres fibres textiles libériennes du n° 5303")</f>
        <v xml:space="preserve">   Sacs et sachets d'emballage de jute ou d'autres fibres textiles libériennes du n° 5303</v>
      </c>
      <c r="C5959">
        <v>29800000</v>
      </c>
      <c r="D5959">
        <v>143640</v>
      </c>
    </row>
    <row r="5960" spans="1:4" x14ac:dyDescent="0.25">
      <c r="A5960" t="str">
        <f>T("   630900")</f>
        <v xml:space="preserve">   630900</v>
      </c>
      <c r="B5960" t="s">
        <v>300</v>
      </c>
      <c r="C5960">
        <v>1278026</v>
      </c>
      <c r="D5960">
        <v>3725</v>
      </c>
    </row>
    <row r="5961" spans="1:4" x14ac:dyDescent="0.25">
      <c r="A5961" t="str">
        <f>T("   640220")</f>
        <v xml:space="preserve">   640220</v>
      </c>
      <c r="B5961"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5961">
        <v>6726462</v>
      </c>
      <c r="D5961">
        <v>26698</v>
      </c>
    </row>
    <row r="5962" spans="1:4" x14ac:dyDescent="0.25">
      <c r="A5962" t="str">
        <f>T("   640299")</f>
        <v xml:space="preserve">   640299</v>
      </c>
      <c r="B5962" t="s">
        <v>305</v>
      </c>
      <c r="C5962">
        <v>2410214</v>
      </c>
      <c r="D5962">
        <v>9350</v>
      </c>
    </row>
    <row r="5963" spans="1:4" x14ac:dyDescent="0.25">
      <c r="A5963" t="str">
        <f>T("   640419")</f>
        <v xml:space="preserve">   640419</v>
      </c>
      <c r="B5963" t="s">
        <v>310</v>
      </c>
      <c r="C5963">
        <v>5689558</v>
      </c>
      <c r="D5963">
        <v>30669</v>
      </c>
    </row>
    <row r="5964" spans="1:4" x14ac:dyDescent="0.25">
      <c r="A5964" t="str">
        <f>T("   670419")</f>
        <v xml:space="preserve">   670419</v>
      </c>
      <c r="B5964" t="str">
        <f>T("   Barbes, sourcils, cils, mèches et articles simil., en matières textiles synthétiques (sauf perruques complètes)")</f>
        <v xml:space="preserve">   Barbes, sourcils, cils, mèches et articles simil., en matières textiles synthétiques (sauf perruques complètes)</v>
      </c>
      <c r="C5964">
        <v>500000</v>
      </c>
      <c r="D5964">
        <v>1000</v>
      </c>
    </row>
    <row r="5965" spans="1:4" x14ac:dyDescent="0.25">
      <c r="A5965" t="str">
        <f>T("   670420")</f>
        <v xml:space="preserve">   670420</v>
      </c>
      <c r="B5965" t="str">
        <f>T("   Perruques, barbes, sourcils, cils, mèches et articles simil., en cheveux; ouvrages en cheveux n.d.a.")</f>
        <v xml:space="preserve">   Perruques, barbes, sourcils, cils, mèches et articles simil., en cheveux; ouvrages en cheveux n.d.a.</v>
      </c>
      <c r="C5965">
        <v>53065</v>
      </c>
      <c r="D5965">
        <v>264</v>
      </c>
    </row>
    <row r="5966" spans="1:4" x14ac:dyDescent="0.25">
      <c r="A5966" t="str">
        <f>T("   680520")</f>
        <v xml:space="preserve">   680520</v>
      </c>
      <c r="B5966"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5966">
        <v>3207971</v>
      </c>
      <c r="D5966">
        <v>4000</v>
      </c>
    </row>
    <row r="5967" spans="1:4" x14ac:dyDescent="0.25">
      <c r="A5967" t="str">
        <f>T("   691200")</f>
        <v xml:space="preserve">   691200</v>
      </c>
      <c r="B5967" t="s">
        <v>342</v>
      </c>
      <c r="C5967">
        <v>3549</v>
      </c>
      <c r="D5967">
        <v>70</v>
      </c>
    </row>
    <row r="5968" spans="1:4" x14ac:dyDescent="0.25">
      <c r="A5968" t="str">
        <f>T("   700529")</f>
        <v xml:space="preserve">   700529</v>
      </c>
      <c r="B5968" t="s">
        <v>343</v>
      </c>
      <c r="C5968">
        <v>7500000</v>
      </c>
      <c r="D5968">
        <v>34570</v>
      </c>
    </row>
    <row r="5969" spans="1:4" x14ac:dyDescent="0.25">
      <c r="A5969" t="str">
        <f>T("   700800")</f>
        <v xml:space="preserve">   700800</v>
      </c>
      <c r="B5969" t="str">
        <f>T("   Vitrages isolants à parois multiples")</f>
        <v xml:space="preserve">   Vitrages isolants à parois multiples</v>
      </c>
      <c r="C5969">
        <v>500000</v>
      </c>
      <c r="D5969">
        <v>1000</v>
      </c>
    </row>
    <row r="5970" spans="1:4" x14ac:dyDescent="0.25">
      <c r="A5970" t="str">
        <f>T("   701090")</f>
        <v xml:space="preserve">   701090</v>
      </c>
      <c r="B5970" t="s">
        <v>348</v>
      </c>
      <c r="C5970">
        <v>2650078</v>
      </c>
      <c r="D5970">
        <v>1074</v>
      </c>
    </row>
    <row r="5971" spans="1:4" x14ac:dyDescent="0.25">
      <c r="A5971" t="str">
        <f>T("   721391")</f>
        <v xml:space="preserve">   721391</v>
      </c>
      <c r="B5971"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5971">
        <v>4184007</v>
      </c>
      <c r="D5971">
        <v>10000</v>
      </c>
    </row>
    <row r="5972" spans="1:4" x14ac:dyDescent="0.25">
      <c r="A5972" t="str">
        <f>T("   721410")</f>
        <v xml:space="preserve">   721410</v>
      </c>
      <c r="B5972" t="str">
        <f>T("   Barres, en fer ou en aciers non alliés, simplement forgées")</f>
        <v xml:space="preserve">   Barres, en fer ou en aciers non alliés, simplement forgées</v>
      </c>
      <c r="C5972">
        <v>13056000</v>
      </c>
      <c r="D5972">
        <v>51000</v>
      </c>
    </row>
    <row r="5973" spans="1:4" x14ac:dyDescent="0.25">
      <c r="A5973" t="str">
        <f>T("   721420")</f>
        <v xml:space="preserve">   721420</v>
      </c>
      <c r="B597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5973">
        <v>192000562</v>
      </c>
      <c r="D5973">
        <v>863000</v>
      </c>
    </row>
    <row r="5974" spans="1:4" x14ac:dyDescent="0.25">
      <c r="A5974" t="str">
        <f>T("   721499")</f>
        <v xml:space="preserve">   721499</v>
      </c>
      <c r="B5974" t="s">
        <v>367</v>
      </c>
      <c r="C5974">
        <v>10000000</v>
      </c>
      <c r="D5974">
        <v>40000</v>
      </c>
    </row>
    <row r="5975" spans="1:4" x14ac:dyDescent="0.25">
      <c r="A5975" t="str">
        <f>T("   721590")</f>
        <v xml:space="preserve">   721590</v>
      </c>
      <c r="B597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5975">
        <v>6400000</v>
      </c>
      <c r="D5975">
        <v>25000</v>
      </c>
    </row>
    <row r="5976" spans="1:4" x14ac:dyDescent="0.25">
      <c r="A5976" t="str">
        <f>T("   721661")</f>
        <v xml:space="preserve">   721661</v>
      </c>
      <c r="B5976"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5976">
        <v>4454100</v>
      </c>
      <c r="D5976">
        <v>11000</v>
      </c>
    </row>
    <row r="5977" spans="1:4" x14ac:dyDescent="0.25">
      <c r="A5977" t="str">
        <f>T("   730300")</f>
        <v xml:space="preserve">   730300</v>
      </c>
      <c r="B5977" t="str">
        <f>T("   Tubes, tuyaux et profilés creux, en fonte")</f>
        <v xml:space="preserve">   Tubes, tuyaux et profilés creux, en fonte</v>
      </c>
      <c r="C5977">
        <v>10137800</v>
      </c>
      <c r="D5977">
        <v>34000</v>
      </c>
    </row>
    <row r="5978" spans="1:4" x14ac:dyDescent="0.25">
      <c r="A5978" t="str">
        <f>T("   730590")</f>
        <v xml:space="preserve">   730590</v>
      </c>
      <c r="B5978"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5978">
        <v>12800000</v>
      </c>
      <c r="D5978">
        <v>50000</v>
      </c>
    </row>
    <row r="5979" spans="1:4" x14ac:dyDescent="0.25">
      <c r="A5979" t="str">
        <f>T("   730630")</f>
        <v xml:space="preserve">   730630</v>
      </c>
      <c r="B5979" t="s">
        <v>372</v>
      </c>
      <c r="C5979">
        <v>4049185</v>
      </c>
      <c r="D5979">
        <v>10000</v>
      </c>
    </row>
    <row r="5980" spans="1:4" x14ac:dyDescent="0.25">
      <c r="A5980" t="str">
        <f>T("   730661")</f>
        <v xml:space="preserve">   730661</v>
      </c>
      <c r="B5980" t="str">
        <f>T("   TUBES, TUYAUX ET PROFILÉS CREUX SOUDÉS, DE SECTION CARRÉE OU RECTANGULAIRE, EN FER OU EN ACIER")</f>
        <v xml:space="preserve">   TUBES, TUYAUX ET PROFILÉS CREUX SOUDÉS, DE SECTION CARRÉE OU RECTANGULAIRE, EN FER OU EN ACIER</v>
      </c>
      <c r="C5980">
        <v>6656000</v>
      </c>
      <c r="D5980">
        <v>26000</v>
      </c>
    </row>
    <row r="5981" spans="1:4" x14ac:dyDescent="0.25">
      <c r="A5981" t="str">
        <f>T("   730690")</f>
        <v xml:space="preserve">   730690</v>
      </c>
      <c r="B5981"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5981">
        <v>92277715</v>
      </c>
      <c r="D5981">
        <v>333000</v>
      </c>
    </row>
    <row r="5982" spans="1:4" x14ac:dyDescent="0.25">
      <c r="A5982" t="str">
        <f>T("   730799")</f>
        <v xml:space="preserve">   730799</v>
      </c>
      <c r="B5982"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5982">
        <v>39931925</v>
      </c>
      <c r="D5982">
        <v>2501</v>
      </c>
    </row>
    <row r="5983" spans="1:4" x14ac:dyDescent="0.25">
      <c r="A5983" t="str">
        <f>T("   730820")</f>
        <v xml:space="preserve">   730820</v>
      </c>
      <c r="B5983" t="str">
        <f>T("   Tours et pylônes, en fer ou en acier")</f>
        <v xml:space="preserve">   Tours et pylônes, en fer ou en acier</v>
      </c>
      <c r="C5983">
        <v>34002546</v>
      </c>
      <c r="D5983">
        <v>4080</v>
      </c>
    </row>
    <row r="5984" spans="1:4" x14ac:dyDescent="0.25">
      <c r="A5984" t="str">
        <f>T("   730900")</f>
        <v xml:space="preserve">   730900</v>
      </c>
      <c r="B5984" t="s">
        <v>377</v>
      </c>
      <c r="C5984">
        <v>26332145</v>
      </c>
      <c r="D5984">
        <v>2320</v>
      </c>
    </row>
    <row r="5985" spans="1:4" x14ac:dyDescent="0.25">
      <c r="A5985" t="str">
        <f>T("   731449")</f>
        <v xml:space="preserve">   731449</v>
      </c>
      <c r="B5985"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5985">
        <v>5300000</v>
      </c>
      <c r="D5985">
        <v>11640</v>
      </c>
    </row>
    <row r="5986" spans="1:4" x14ac:dyDescent="0.25">
      <c r="A5986" t="str">
        <f>T("   731450")</f>
        <v xml:space="preserve">   731450</v>
      </c>
      <c r="B5986" t="str">
        <f>T("   Tôles et bandes déployées en fer ou en acier")</f>
        <v xml:space="preserve">   Tôles et bandes déployées en fer ou en acier</v>
      </c>
      <c r="C5986">
        <v>59904000</v>
      </c>
      <c r="D5986">
        <v>234700</v>
      </c>
    </row>
    <row r="5987" spans="1:4" x14ac:dyDescent="0.25">
      <c r="A5987" t="str">
        <f>T("   731700")</f>
        <v xml:space="preserve">   731700</v>
      </c>
      <c r="B5987"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5987">
        <v>11172398</v>
      </c>
      <c r="D5987">
        <v>33540</v>
      </c>
    </row>
    <row r="5988" spans="1:4" x14ac:dyDescent="0.25">
      <c r="A5988" t="str">
        <f>T("   732010")</f>
        <v xml:space="preserve">   732010</v>
      </c>
      <c r="B5988"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5988">
        <v>2510716</v>
      </c>
      <c r="D5988">
        <v>6260</v>
      </c>
    </row>
    <row r="5989" spans="1:4" x14ac:dyDescent="0.25">
      <c r="A5989" t="str">
        <f>T("   732310")</f>
        <v xml:space="preserve">   732310</v>
      </c>
      <c r="B5989"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5989">
        <v>1000000</v>
      </c>
      <c r="D5989">
        <v>1500</v>
      </c>
    </row>
    <row r="5990" spans="1:4" x14ac:dyDescent="0.25">
      <c r="A5990" t="str">
        <f>T("   732392")</f>
        <v xml:space="preserve">   732392</v>
      </c>
      <c r="B5990" t="s">
        <v>387</v>
      </c>
      <c r="C5990">
        <v>1920753</v>
      </c>
      <c r="D5990">
        <v>4200</v>
      </c>
    </row>
    <row r="5991" spans="1:4" x14ac:dyDescent="0.25">
      <c r="A5991" t="str">
        <f>T("   741533")</f>
        <v xml:space="preserve">   741533</v>
      </c>
      <c r="B5991" t="str">
        <f>T("   Vis, boulons, écrous et articles simil., filetés, en cuivre (à l'excl. des crochets et pitons à pas de vis, des tire-fond, des bouchons métalliques, bondes et articles simil., filetés)")</f>
        <v xml:space="preserve">   Vis, boulons, écrous et articles simil., filetés, en cuivre (à l'excl. des crochets et pitons à pas de vis, des tire-fond, des bouchons métalliques, bondes et articles simil., filetés)</v>
      </c>
      <c r="C5991">
        <v>4117336</v>
      </c>
      <c r="D5991">
        <v>1800</v>
      </c>
    </row>
    <row r="5992" spans="1:4" x14ac:dyDescent="0.25">
      <c r="A5992" t="str">
        <f>T("   750890")</f>
        <v xml:space="preserve">   750890</v>
      </c>
      <c r="B5992" t="str">
        <f>T("   Ouvrages en nickel, n.d.a.")</f>
        <v xml:space="preserve">   Ouvrages en nickel, n.d.a.</v>
      </c>
      <c r="C5992">
        <v>2196944690</v>
      </c>
      <c r="D5992">
        <v>27750</v>
      </c>
    </row>
    <row r="5993" spans="1:4" x14ac:dyDescent="0.25">
      <c r="A5993" t="str">
        <f>T("   760692")</f>
        <v xml:space="preserve">   760692</v>
      </c>
      <c r="B5993" t="str">
        <f>T("   Tôles et bandes en alliages d'aluminium, d'une épaisseur &gt; 0,2 mm, de forme autre que carrée ou rectangulaire")</f>
        <v xml:space="preserve">   Tôles et bandes en alliages d'aluminium, d'une épaisseur &gt; 0,2 mm, de forme autre que carrée ou rectangulaire</v>
      </c>
      <c r="C5993">
        <v>71011022</v>
      </c>
      <c r="D5993">
        <v>50000</v>
      </c>
    </row>
    <row r="5994" spans="1:4" x14ac:dyDescent="0.25">
      <c r="A5994" t="str">
        <f>T("   761519")</f>
        <v xml:space="preserve">   761519</v>
      </c>
      <c r="B5994" t="s">
        <v>397</v>
      </c>
      <c r="C5994">
        <v>269666491</v>
      </c>
      <c r="D5994">
        <v>729019</v>
      </c>
    </row>
    <row r="5995" spans="1:4" x14ac:dyDescent="0.25">
      <c r="A5995" t="str">
        <f>T("   820190")</f>
        <v xml:space="preserve">   820190</v>
      </c>
      <c r="B5995" t="s">
        <v>399</v>
      </c>
      <c r="C5995">
        <v>11400000</v>
      </c>
      <c r="D5995">
        <v>45920</v>
      </c>
    </row>
    <row r="5996" spans="1:4" x14ac:dyDescent="0.25">
      <c r="A5996" t="str">
        <f>T("   820559")</f>
        <v xml:space="preserve">   820559</v>
      </c>
      <c r="B5996" t="str">
        <f>T("   Outils à main, y.c. -les diamants de vitrier-, en métaux communs, n.d.a.")</f>
        <v xml:space="preserve">   Outils à main, y.c. -les diamants de vitrier-, en métaux communs, n.d.a.</v>
      </c>
      <c r="C5996">
        <v>860950</v>
      </c>
      <c r="D5996">
        <v>300</v>
      </c>
    </row>
    <row r="5997" spans="1:4" x14ac:dyDescent="0.25">
      <c r="A5997" t="str">
        <f>T("   820750")</f>
        <v xml:space="preserve">   820750</v>
      </c>
      <c r="B5997"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5997">
        <v>82519291</v>
      </c>
      <c r="D5997">
        <v>7000</v>
      </c>
    </row>
    <row r="5998" spans="1:4" x14ac:dyDescent="0.25">
      <c r="A5998" t="str">
        <f>T("   821210")</f>
        <v xml:space="preserve">   821210</v>
      </c>
      <c r="B5998" t="str">
        <f>T("   Rasoirs et rasoirs de sûreté non-électriques, en métaux communs")</f>
        <v xml:space="preserve">   Rasoirs et rasoirs de sûreté non-électriques, en métaux communs</v>
      </c>
      <c r="C5998">
        <v>8850000</v>
      </c>
      <c r="D5998">
        <v>25200</v>
      </c>
    </row>
    <row r="5999" spans="1:4" x14ac:dyDescent="0.25">
      <c r="A5999" t="str">
        <f>T("   821290")</f>
        <v xml:space="preserve">   821290</v>
      </c>
      <c r="B5999" t="str">
        <f>T("   PARTIES DE RASOIRS ET DE RASOIRS DE S¹RETÉ NON-ÉLECTRIQUES, EN MÉTAUX COMMUNS (SAUF LAMES DE RASOIRS DE S¹RETÉ, Y.C. LES ÉBAUCHES EN BANDE)")</f>
        <v xml:space="preserve">   PARTIES DE RASOIRS ET DE RASOIRS DE S¹RETÉ NON-ÉLECTRIQUES, EN MÉTAUX COMMUNS (SAUF LAMES DE RASOIRS DE S¹RETÉ, Y.C. LES ÉBAUCHES EN BANDE)</v>
      </c>
      <c r="C5999">
        <v>500000</v>
      </c>
      <c r="D5999">
        <v>1000</v>
      </c>
    </row>
    <row r="6000" spans="1:4" x14ac:dyDescent="0.25">
      <c r="A6000" t="str">
        <f>T("   821591")</f>
        <v xml:space="preserve">   821591</v>
      </c>
      <c r="B6000" t="str">
        <f>T("   Cuillers, fourchettes, louches, écumoires, pelles à tartes, couteaux spéciaux à poisson ou à beurre, pinces à sucre et articles simil., en métaux communs, argentés, dorés ou platinés (sauf en assortiments et sauf cisailles à volaille et à homards)")</f>
        <v xml:space="preserve">   Cuillers, fourchettes, louches, écumoires, pelles à tartes, couteaux spéciaux à poisson ou à beurre, pinces à sucre et articles simil., en métaux communs, argentés, dorés ou platinés (sauf en assortiments et sauf cisailles à volaille et à homards)</v>
      </c>
      <c r="C6000">
        <v>10220</v>
      </c>
      <c r="D6000">
        <v>10</v>
      </c>
    </row>
    <row r="6001" spans="1:4" x14ac:dyDescent="0.25">
      <c r="A6001" t="str">
        <f>T("   830990")</f>
        <v xml:space="preserve">   830990</v>
      </c>
      <c r="B6001"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001">
        <v>120041</v>
      </c>
      <c r="D6001">
        <v>150</v>
      </c>
    </row>
    <row r="6002" spans="1:4" x14ac:dyDescent="0.25">
      <c r="A6002" t="str">
        <f>T("   840999")</f>
        <v xml:space="preserve">   840999</v>
      </c>
      <c r="B600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002">
        <v>1005750</v>
      </c>
      <c r="D6002">
        <v>6.4</v>
      </c>
    </row>
    <row r="6003" spans="1:4" x14ac:dyDescent="0.25">
      <c r="A6003" t="str">
        <f>T("   841440")</f>
        <v xml:space="preserve">   841440</v>
      </c>
      <c r="B6003" t="str">
        <f>T("   Compresseurs d'air montés sur châssis à roues et remorquables")</f>
        <v xml:space="preserve">   Compresseurs d'air montés sur châssis à roues et remorquables</v>
      </c>
      <c r="C6003">
        <v>13692140</v>
      </c>
      <c r="D6003">
        <v>2948</v>
      </c>
    </row>
    <row r="6004" spans="1:4" x14ac:dyDescent="0.25">
      <c r="A6004" t="str">
        <f>T("   841510")</f>
        <v xml:space="preserve">   841510</v>
      </c>
      <c r="B6004" t="s">
        <v>422</v>
      </c>
      <c r="C6004">
        <v>220915</v>
      </c>
      <c r="D6004">
        <v>2361</v>
      </c>
    </row>
    <row r="6005" spans="1:4" x14ac:dyDescent="0.25">
      <c r="A6005" t="str">
        <f>T("   841829")</f>
        <v xml:space="preserve">   841829</v>
      </c>
      <c r="B6005" t="str">
        <f>T("   Réfrigérateurs ménagers à absorption, non-électriques")</f>
        <v xml:space="preserve">   Réfrigérateurs ménagers à absorption, non-électriques</v>
      </c>
      <c r="C6005">
        <v>391143</v>
      </c>
      <c r="D6005">
        <v>1650</v>
      </c>
    </row>
    <row r="6006" spans="1:4" x14ac:dyDescent="0.25">
      <c r="A6006" t="str">
        <f>T("   842230")</f>
        <v xml:space="preserve">   842230</v>
      </c>
      <c r="B6006"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6006">
        <v>1320447</v>
      </c>
      <c r="D6006">
        <v>950</v>
      </c>
    </row>
    <row r="6007" spans="1:4" x14ac:dyDescent="0.25">
      <c r="A6007" t="str">
        <f>T("   842649")</f>
        <v xml:space="preserve">   842649</v>
      </c>
      <c r="B6007" t="str">
        <f>T("   Bigues et chariots-grues et appareils autopropulsés (autres que sur pneumatiques et sauf chariots-cavaliers)")</f>
        <v xml:space="preserve">   Bigues et chariots-grues et appareils autopropulsés (autres que sur pneumatiques et sauf chariots-cavaliers)</v>
      </c>
      <c r="C6007">
        <v>24255004</v>
      </c>
      <c r="D6007">
        <v>15000</v>
      </c>
    </row>
    <row r="6008" spans="1:4" x14ac:dyDescent="0.25">
      <c r="A6008" t="str">
        <f>T("   842839")</f>
        <v xml:space="preserve">   842839</v>
      </c>
      <c r="B600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6008">
        <v>225889829</v>
      </c>
      <c r="D6008">
        <v>96908</v>
      </c>
    </row>
    <row r="6009" spans="1:4" x14ac:dyDescent="0.25">
      <c r="A6009" t="str">
        <f>T("   842911")</f>
        <v xml:space="preserve">   842911</v>
      </c>
      <c r="B6009" t="str">
        <f>T("   Bouteurs 'bulldozers' et bouteurs biais 'angledozers', à chenilles")</f>
        <v xml:space="preserve">   Bouteurs 'bulldozers' et bouteurs biais 'angledozers', à chenilles</v>
      </c>
      <c r="C6009">
        <v>13665625</v>
      </c>
      <c r="D6009">
        <v>18000</v>
      </c>
    </row>
    <row r="6010" spans="1:4" x14ac:dyDescent="0.25">
      <c r="A6010" t="str">
        <f>T("   843039")</f>
        <v xml:space="preserve">   843039</v>
      </c>
      <c r="B6010"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6010">
        <v>26884691</v>
      </c>
      <c r="D6010">
        <v>36800</v>
      </c>
    </row>
    <row r="6011" spans="1:4" x14ac:dyDescent="0.25">
      <c r="A6011" t="str">
        <f>T("   843049")</f>
        <v xml:space="preserve">   843049</v>
      </c>
      <c r="B601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011">
        <v>118420580</v>
      </c>
      <c r="D6011">
        <v>10000</v>
      </c>
    </row>
    <row r="6012" spans="1:4" x14ac:dyDescent="0.25">
      <c r="A6012" t="str">
        <f>T("   843120")</f>
        <v xml:space="preserve">   843120</v>
      </c>
      <c r="B6012" t="str">
        <f>T("   Parties de chariots-gerbeurs et autres chariots de manutention munis d'un dispositif de levage, n.d.a.")</f>
        <v xml:space="preserve">   Parties de chariots-gerbeurs et autres chariots de manutention munis d'un dispositif de levage, n.d.a.</v>
      </c>
      <c r="C6012">
        <v>425390</v>
      </c>
      <c r="D6012">
        <v>90</v>
      </c>
    </row>
    <row r="6013" spans="1:4" x14ac:dyDescent="0.25">
      <c r="A6013" t="str">
        <f>T("   843139")</f>
        <v xml:space="preserve">   843139</v>
      </c>
      <c r="B6013" t="str">
        <f>T("   Parties de machines et appareils du n° 8428, n.d.a.")</f>
        <v xml:space="preserve">   Parties de machines et appareils du n° 8428, n.d.a.</v>
      </c>
      <c r="C6013">
        <v>1238794</v>
      </c>
      <c r="D6013">
        <v>1.3</v>
      </c>
    </row>
    <row r="6014" spans="1:4" x14ac:dyDescent="0.25">
      <c r="A6014" t="str">
        <f>T("   843143")</f>
        <v xml:space="preserve">   843143</v>
      </c>
      <c r="B6014" t="str">
        <f>T("   Parties de machines de sondage ou de forage du n° 8430.41 ou 8430.49, n.d.a.")</f>
        <v xml:space="preserve">   Parties de machines de sondage ou de forage du n° 8430.41 ou 8430.49, n.d.a.</v>
      </c>
      <c r="C6014">
        <v>919360553</v>
      </c>
      <c r="D6014">
        <v>37716</v>
      </c>
    </row>
    <row r="6015" spans="1:4" x14ac:dyDescent="0.25">
      <c r="A6015" t="str">
        <f>T("   845229")</f>
        <v xml:space="preserve">   845229</v>
      </c>
      <c r="B6015" t="str">
        <f>T("   Machines à coudre de type industriel (sauf unités automatiques)")</f>
        <v xml:space="preserve">   Machines à coudre de type industriel (sauf unités automatiques)</v>
      </c>
      <c r="C6015">
        <v>13000000</v>
      </c>
      <c r="D6015">
        <v>6440</v>
      </c>
    </row>
    <row r="6016" spans="1:4" x14ac:dyDescent="0.25">
      <c r="A6016" t="str">
        <f>T("   847190")</f>
        <v xml:space="preserve">   847190</v>
      </c>
      <c r="B601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016">
        <v>565714</v>
      </c>
      <c r="D6016">
        <v>42</v>
      </c>
    </row>
    <row r="6017" spans="1:4" x14ac:dyDescent="0.25">
      <c r="A6017" t="str">
        <f>T("   847431")</f>
        <v xml:space="preserve">   847431</v>
      </c>
      <c r="B6017"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6017">
        <v>1311920</v>
      </c>
      <c r="D6017">
        <v>4000</v>
      </c>
    </row>
    <row r="6018" spans="1:4" x14ac:dyDescent="0.25">
      <c r="A6018" t="str">
        <f>T("   847989")</f>
        <v xml:space="preserve">   847989</v>
      </c>
      <c r="B6018" t="str">
        <f>T("   Machines et appareils, y.c. les appareils mécaniques, n.d.a.")</f>
        <v xml:space="preserve">   Machines et appareils, y.c. les appareils mécaniques, n.d.a.</v>
      </c>
      <c r="C6018">
        <v>92730640</v>
      </c>
      <c r="D6018">
        <v>7335</v>
      </c>
    </row>
    <row r="6019" spans="1:4" x14ac:dyDescent="0.25">
      <c r="A6019" t="str">
        <f>T("   848130")</f>
        <v xml:space="preserve">   848130</v>
      </c>
      <c r="B6019" t="str">
        <f>T("   Clapets et soupapes de retenue, pour tuyauteries, chaudières, réservoirs, cuves ou contenants simil.")</f>
        <v xml:space="preserve">   Clapets et soupapes de retenue, pour tuyauteries, chaudières, réservoirs, cuves ou contenants simil.</v>
      </c>
      <c r="C6019">
        <v>4692133</v>
      </c>
      <c r="D6019">
        <v>293</v>
      </c>
    </row>
    <row r="6020" spans="1:4" x14ac:dyDescent="0.25">
      <c r="A6020" t="str">
        <f>T("   848180")</f>
        <v xml:space="preserve">   848180</v>
      </c>
      <c r="B602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020">
        <v>14258592</v>
      </c>
      <c r="D6020">
        <v>891</v>
      </c>
    </row>
    <row r="6021" spans="1:4" x14ac:dyDescent="0.25">
      <c r="A6021" t="str">
        <f>T("   850211")</f>
        <v xml:space="preserve">   850211</v>
      </c>
      <c r="B6021" t="s">
        <v>470</v>
      </c>
      <c r="C6021">
        <v>1200000</v>
      </c>
      <c r="D6021">
        <v>930</v>
      </c>
    </row>
    <row r="6022" spans="1:4" x14ac:dyDescent="0.25">
      <c r="A6022" t="str">
        <f>T("   850239")</f>
        <v xml:space="preserve">   850239</v>
      </c>
      <c r="B6022" t="str">
        <f>T("   Groupes électrogènes (autres qu'à énergie éolienne et à moteurs à piston)")</f>
        <v xml:space="preserve">   Groupes électrogènes (autres qu'à énergie éolienne et à moteurs à piston)</v>
      </c>
      <c r="C6022">
        <v>546633</v>
      </c>
      <c r="D6022">
        <v>850</v>
      </c>
    </row>
    <row r="6023" spans="1:4" x14ac:dyDescent="0.25">
      <c r="A6023" t="str">
        <f>T("   851310")</f>
        <v xml:space="preserve">   851310</v>
      </c>
      <c r="B6023" t="str">
        <f>T("   Lampes électriques portatives, destinées à fonctionner au moyen de leur propre source d'énergie")</f>
        <v xml:space="preserve">   Lampes électriques portatives, destinées à fonctionner au moyen de leur propre source d'énergie</v>
      </c>
      <c r="C6023">
        <v>800000</v>
      </c>
      <c r="D6023">
        <v>2040</v>
      </c>
    </row>
    <row r="6024" spans="1:4" x14ac:dyDescent="0.25">
      <c r="A6024" t="str">
        <f>T("   851769")</f>
        <v xml:space="preserve">   851769</v>
      </c>
      <c r="B6024" t="s">
        <v>481</v>
      </c>
      <c r="C6024">
        <v>69725</v>
      </c>
      <c r="D6024">
        <v>0.4</v>
      </c>
    </row>
    <row r="6025" spans="1:4" x14ac:dyDescent="0.25">
      <c r="A6025" t="str">
        <f>T("   852321")</f>
        <v xml:space="preserve">   852321</v>
      </c>
      <c r="B6025" t="str">
        <f>T("   CARTES MUNIES D'UNE PISTE MAGNÉTIQUE POUR L'ENREGISTREMENT DU SON OU POUR ENREGISTREMENTS ANALOGUES")</f>
        <v xml:space="preserve">   CARTES MUNIES D'UNE PISTE MAGNÉTIQUE POUR L'ENREGISTREMENT DU SON OU POUR ENREGISTREMENTS ANALOGUES</v>
      </c>
      <c r="C6025">
        <v>22580</v>
      </c>
      <c r="D6025">
        <v>17.899999999999999</v>
      </c>
    </row>
    <row r="6026" spans="1:4" x14ac:dyDescent="0.25">
      <c r="A6026" t="str">
        <f>T("   852380")</f>
        <v xml:space="preserve">   852380</v>
      </c>
      <c r="B6026" t="s">
        <v>490</v>
      </c>
      <c r="C6026">
        <v>77518037</v>
      </c>
      <c r="D6026">
        <v>0.2</v>
      </c>
    </row>
    <row r="6027" spans="1:4" x14ac:dyDescent="0.25">
      <c r="A6027" t="str">
        <f>T("   852729")</f>
        <v xml:space="preserve">   852729</v>
      </c>
      <c r="B6027" t="s">
        <v>492</v>
      </c>
      <c r="C6027">
        <v>1000000</v>
      </c>
      <c r="D6027">
        <v>3440</v>
      </c>
    </row>
    <row r="6028" spans="1:4" x14ac:dyDescent="0.25">
      <c r="A6028" t="str">
        <f>T("   853669")</f>
        <v xml:space="preserve">   853669</v>
      </c>
      <c r="B6028" t="str">
        <f>T("   Fiches et prises de courant, pour une tension &lt;= 1.000 V (sauf douilles pour lampes)")</f>
        <v xml:space="preserve">   Fiches et prises de courant, pour une tension &lt;= 1.000 V (sauf douilles pour lampes)</v>
      </c>
      <c r="C6028">
        <v>860950</v>
      </c>
      <c r="D6028">
        <v>395</v>
      </c>
    </row>
    <row r="6029" spans="1:4" x14ac:dyDescent="0.25">
      <c r="A6029" t="str">
        <f>T("   853690")</f>
        <v xml:space="preserve">   853690</v>
      </c>
      <c r="B6029" t="s">
        <v>499</v>
      </c>
      <c r="C6029">
        <v>194489</v>
      </c>
      <c r="D6029">
        <v>1280</v>
      </c>
    </row>
    <row r="6030" spans="1:4" x14ac:dyDescent="0.25">
      <c r="A6030" t="str">
        <f>T("   853710")</f>
        <v xml:space="preserve">   853710</v>
      </c>
      <c r="B603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030">
        <v>13146543</v>
      </c>
      <c r="D6030">
        <v>23</v>
      </c>
    </row>
    <row r="6031" spans="1:4" x14ac:dyDescent="0.25">
      <c r="A6031" t="str">
        <f>T("   860900")</f>
        <v xml:space="preserve">   860900</v>
      </c>
      <c r="B603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6031">
        <v>118972747</v>
      </c>
      <c r="D6031">
        <v>52905</v>
      </c>
    </row>
    <row r="6032" spans="1:4" x14ac:dyDescent="0.25">
      <c r="A6032" t="str">
        <f>T("   870120")</f>
        <v xml:space="preserve">   870120</v>
      </c>
      <c r="B6032" t="str">
        <f>T("   Tracteurs routiers pour semi-remorques")</f>
        <v xml:space="preserve">   Tracteurs routiers pour semi-remorques</v>
      </c>
      <c r="C6032">
        <v>50442451</v>
      </c>
      <c r="D6032">
        <v>34092</v>
      </c>
    </row>
    <row r="6033" spans="1:4" x14ac:dyDescent="0.25">
      <c r="A6033" t="str">
        <f>T("   870210")</f>
        <v xml:space="preserve">   870210</v>
      </c>
      <c r="B6033" t="s">
        <v>503</v>
      </c>
      <c r="C6033">
        <v>77034903</v>
      </c>
      <c r="D6033">
        <v>22700</v>
      </c>
    </row>
    <row r="6034" spans="1:4" x14ac:dyDescent="0.25">
      <c r="A6034" t="str">
        <f>T("   870322")</f>
        <v xml:space="preserve">   870322</v>
      </c>
      <c r="B6034" t="s">
        <v>506</v>
      </c>
      <c r="C6034">
        <v>22171925</v>
      </c>
      <c r="D6034">
        <v>3830</v>
      </c>
    </row>
    <row r="6035" spans="1:4" x14ac:dyDescent="0.25">
      <c r="A6035" t="str">
        <f>T("   870323")</f>
        <v xml:space="preserve">   870323</v>
      </c>
      <c r="B6035" t="s">
        <v>507</v>
      </c>
      <c r="C6035">
        <v>12050000</v>
      </c>
      <c r="D6035">
        <v>1876</v>
      </c>
    </row>
    <row r="6036" spans="1:4" x14ac:dyDescent="0.25">
      <c r="A6036" t="str">
        <f>T("   870421")</f>
        <v xml:space="preserve">   870421</v>
      </c>
      <c r="B6036" t="s">
        <v>512</v>
      </c>
      <c r="C6036">
        <v>19189232</v>
      </c>
      <c r="D6036">
        <v>6384</v>
      </c>
    </row>
    <row r="6037" spans="1:4" x14ac:dyDescent="0.25">
      <c r="A6037" t="str">
        <f>T("   870899")</f>
        <v xml:space="preserve">   870899</v>
      </c>
      <c r="B603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037">
        <v>4952000</v>
      </c>
      <c r="D6037">
        <v>17540</v>
      </c>
    </row>
    <row r="6038" spans="1:4" x14ac:dyDescent="0.25">
      <c r="A6038" t="str">
        <f>T("   871120")</f>
        <v xml:space="preserve">   871120</v>
      </c>
      <c r="B6038" t="str">
        <f>T("   Motocycles à moteur à piston alternatif, cylindrée &gt; 50 cm³ mais &lt;= 250 cm³")</f>
        <v xml:space="preserve">   Motocycles à moteur à piston alternatif, cylindrée &gt; 50 cm³ mais &lt;= 250 cm³</v>
      </c>
      <c r="C6038">
        <v>48418000</v>
      </c>
      <c r="D6038">
        <v>22720</v>
      </c>
    </row>
    <row r="6039" spans="1:4" x14ac:dyDescent="0.25">
      <c r="A6039" t="str">
        <f>T("   871200")</f>
        <v xml:space="preserve">   871200</v>
      </c>
      <c r="B6039" t="str">
        <f>T("   BICYCLETTES ET AUTRES CYCLES, -Y.C. LES TRIPORTEURS-, SANS MOTEUR")</f>
        <v xml:space="preserve">   BICYCLETTES ET AUTRES CYCLES, -Y.C. LES TRIPORTEURS-, SANS MOTEUR</v>
      </c>
      <c r="C6039">
        <v>3185000</v>
      </c>
      <c r="D6039">
        <v>6735</v>
      </c>
    </row>
    <row r="6040" spans="1:4" x14ac:dyDescent="0.25">
      <c r="A6040" t="str">
        <f>T("   871419")</f>
        <v xml:space="preserve">   871419</v>
      </c>
      <c r="B6040" t="str">
        <f>T("   Parties et accessoires de motocycles, y.c. de cyclomoteurs, n.d.a.")</f>
        <v xml:space="preserve">   Parties et accessoires de motocycles, y.c. de cyclomoteurs, n.d.a.</v>
      </c>
      <c r="C6040">
        <v>2713982</v>
      </c>
      <c r="D6040">
        <v>9400</v>
      </c>
    </row>
    <row r="6041" spans="1:4" x14ac:dyDescent="0.25">
      <c r="A6041" t="str">
        <f>T("   900490")</f>
        <v xml:space="preserve">   900490</v>
      </c>
      <c r="B6041"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6041">
        <v>540516</v>
      </c>
      <c r="D6041">
        <v>2000</v>
      </c>
    </row>
    <row r="6042" spans="1:4" x14ac:dyDescent="0.25">
      <c r="A6042" t="str">
        <f>T("   901920")</f>
        <v xml:space="preserve">   901920</v>
      </c>
      <c r="B6042"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6042">
        <v>364934</v>
      </c>
      <c r="D6042">
        <v>52.5</v>
      </c>
    </row>
    <row r="6043" spans="1:4" x14ac:dyDescent="0.25">
      <c r="A6043" t="str">
        <f>T("   940161")</f>
        <v xml:space="preserve">   940161</v>
      </c>
      <c r="B6043" t="str">
        <f>T("   Sièges, avec bâti en bois, rembourrés (non transformables en lits)")</f>
        <v xml:space="preserve">   Sièges, avec bâti en bois, rembourrés (non transformables en lits)</v>
      </c>
      <c r="C6043">
        <v>438012</v>
      </c>
      <c r="D6043">
        <v>1750</v>
      </c>
    </row>
    <row r="6044" spans="1:4" x14ac:dyDescent="0.25">
      <c r="A6044" t="str">
        <f>T("   940180")</f>
        <v xml:space="preserve">   940180</v>
      </c>
      <c r="B6044" t="str">
        <f>T("   Sièges, n.d.a.")</f>
        <v xml:space="preserve">   Sièges, n.d.a.</v>
      </c>
      <c r="C6044">
        <v>3000000</v>
      </c>
      <c r="D6044">
        <v>2880</v>
      </c>
    </row>
    <row r="6045" spans="1:4" x14ac:dyDescent="0.25">
      <c r="A6045" t="str">
        <f>T("   940330")</f>
        <v xml:space="preserve">   940330</v>
      </c>
      <c r="B6045" t="str">
        <f>T("   Meubles de bureau en bois (sauf sièges)")</f>
        <v xml:space="preserve">   Meubles de bureau en bois (sauf sièges)</v>
      </c>
      <c r="C6045">
        <v>5000000</v>
      </c>
      <c r="D6045">
        <v>10000</v>
      </c>
    </row>
    <row r="6046" spans="1:4" x14ac:dyDescent="0.25">
      <c r="A6046" t="str">
        <f>T("   940360")</f>
        <v xml:space="preserve">   940360</v>
      </c>
      <c r="B6046" t="str">
        <f>T("   Meubles en bois (autres que pour bureaux, cuisines ou chambres à coucher et autres que sièges)")</f>
        <v xml:space="preserve">   Meubles en bois (autres que pour bureaux, cuisines ou chambres à coucher et autres que sièges)</v>
      </c>
      <c r="C6046">
        <v>7100000</v>
      </c>
      <c r="D6046">
        <v>11760</v>
      </c>
    </row>
    <row r="6047" spans="1:4" x14ac:dyDescent="0.25">
      <c r="A6047" t="str">
        <f>T("   940490")</f>
        <v xml:space="preserve">   940490</v>
      </c>
      <c r="B6047" t="s">
        <v>537</v>
      </c>
      <c r="C6047">
        <v>2096200</v>
      </c>
      <c r="D6047">
        <v>950</v>
      </c>
    </row>
    <row r="6048" spans="1:4" x14ac:dyDescent="0.25">
      <c r="A6048" t="str">
        <f>T("   960321")</f>
        <v xml:space="preserve">   960321</v>
      </c>
      <c r="B6048" t="str">
        <f>T("   Brosses à dent, y.c. brosses à prothèses dentaires")</f>
        <v xml:space="preserve">   Brosses à dent, y.c. brosses à prothèses dentaires</v>
      </c>
      <c r="C6048">
        <v>4300000</v>
      </c>
      <c r="D6048">
        <v>12910</v>
      </c>
    </row>
    <row r="6049" spans="1:4" x14ac:dyDescent="0.25">
      <c r="A6049" t="str">
        <f>T("   960622")</f>
        <v xml:space="preserve">   960622</v>
      </c>
      <c r="B6049" t="str">
        <f>T("   Boutons en métaux communs (non recouverts de matières textiles) (sauf boutons-pressions et boutons de manchette)")</f>
        <v xml:space="preserve">   Boutons en métaux communs (non recouverts de matières textiles) (sauf boutons-pressions et boutons de manchette)</v>
      </c>
      <c r="C6049">
        <v>1928522</v>
      </c>
      <c r="D6049">
        <v>96</v>
      </c>
    </row>
    <row r="6050" spans="1:4" x14ac:dyDescent="0.25">
      <c r="A6050" t="str">
        <f>T("   960719")</f>
        <v xml:space="preserve">   960719</v>
      </c>
      <c r="B6050" t="str">
        <f>T("   Fermetures à glissière sans agrafes et autres qu'en métaux communs")</f>
        <v xml:space="preserve">   Fermetures à glissière sans agrafes et autres qu'en métaux communs</v>
      </c>
      <c r="C6050">
        <v>75150</v>
      </c>
      <c r="D6050">
        <v>400</v>
      </c>
    </row>
    <row r="6051" spans="1:4" x14ac:dyDescent="0.25">
      <c r="A6051" t="str">
        <f>T("   960810")</f>
        <v xml:space="preserve">   960810</v>
      </c>
      <c r="B6051" t="str">
        <f>T("   Stylos et crayons à bille")</f>
        <v xml:space="preserve">   Stylos et crayons à bille</v>
      </c>
      <c r="C6051">
        <v>1100000</v>
      </c>
      <c r="D6051">
        <v>1400</v>
      </c>
    </row>
    <row r="6052" spans="1:4" x14ac:dyDescent="0.25">
      <c r="A6052" t="str">
        <f>T("   960840")</f>
        <v xml:space="preserve">   960840</v>
      </c>
      <c r="B6052" t="str">
        <f>T("   Porte-mine")</f>
        <v xml:space="preserve">   Porte-mine</v>
      </c>
      <c r="C6052">
        <v>600000</v>
      </c>
      <c r="D6052">
        <v>1500</v>
      </c>
    </row>
    <row r="6053" spans="1:4" x14ac:dyDescent="0.25">
      <c r="A6053" t="str">
        <f>T("   961700")</f>
        <v xml:space="preserve">   961700</v>
      </c>
      <c r="B6053"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6053">
        <v>465000</v>
      </c>
      <c r="D6053">
        <v>805</v>
      </c>
    </row>
    <row r="6054" spans="1:4" x14ac:dyDescent="0.25">
      <c r="A6054" t="str">
        <f>T("GM")</f>
        <v>GM</v>
      </c>
      <c r="B6054" t="str">
        <f>T("Gambie")</f>
        <v>Gambie</v>
      </c>
    </row>
    <row r="6055" spans="1:4" x14ac:dyDescent="0.25">
      <c r="A6055" t="str">
        <f>T("   ZZ_Total_Produit_SH6")</f>
        <v xml:space="preserve">   ZZ_Total_Produit_SH6</v>
      </c>
      <c r="B6055" t="str">
        <f>T("   ZZ_Total_Produit_SH6")</f>
        <v xml:space="preserve">   ZZ_Total_Produit_SH6</v>
      </c>
      <c r="C6055">
        <v>57089578</v>
      </c>
      <c r="D6055">
        <v>100617</v>
      </c>
    </row>
    <row r="6056" spans="1:4" x14ac:dyDescent="0.25">
      <c r="A6056" t="str">
        <f>T("   030549")</f>
        <v xml:space="preserve">   030549</v>
      </c>
      <c r="B6056" t="str">
        <f>T("   Poissons fumés, y.c. les filets (à l'excl. des harengs et des saumons du Pacifique, de l'Atlantique et du Danube)")</f>
        <v xml:space="preserve">   Poissons fumés, y.c. les filets (à l'excl. des harengs et des saumons du Pacifique, de l'Atlantique et du Danube)</v>
      </c>
      <c r="C6056">
        <v>3375000</v>
      </c>
      <c r="D6056">
        <v>15000</v>
      </c>
    </row>
    <row r="6057" spans="1:4" x14ac:dyDescent="0.25">
      <c r="A6057" t="str">
        <f>T("   520851")</f>
        <v xml:space="preserve">   520851</v>
      </c>
      <c r="B6057" t="str">
        <f>T("   Tissus de coton, imprimés, à armure toile, contenant &gt;= 85% en poids de coton, d'un poids &lt;= 100 g/m²")</f>
        <v xml:space="preserve">   Tissus de coton, imprimés, à armure toile, contenant &gt;= 85% en poids de coton, d'un poids &lt;= 100 g/m²</v>
      </c>
      <c r="C6057">
        <v>32768979</v>
      </c>
      <c r="D6057">
        <v>44237</v>
      </c>
    </row>
    <row r="6058" spans="1:4" x14ac:dyDescent="0.25">
      <c r="A6058" t="str">
        <f>T("   520852")</f>
        <v xml:space="preserve">   520852</v>
      </c>
      <c r="B6058" t="str">
        <f>T("   Tissus de coton, imprimés, à armure toile, contenant &gt;= 85% en poids de coton, d'un poids &gt; 100 g/m² mais &lt;= 200 g/m²")</f>
        <v xml:space="preserve">   Tissus de coton, imprimés, à armure toile, contenant &gt;= 85% en poids de coton, d'un poids &gt; 100 g/m² mais &lt;= 200 g/m²</v>
      </c>
      <c r="C6058">
        <v>17000000</v>
      </c>
      <c r="D6058">
        <v>14650</v>
      </c>
    </row>
    <row r="6059" spans="1:4" x14ac:dyDescent="0.25">
      <c r="A6059" t="str">
        <f>T("   850680")</f>
        <v xml:space="preserve">   850680</v>
      </c>
      <c r="B605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059">
        <v>3945599</v>
      </c>
      <c r="D6059">
        <v>26730</v>
      </c>
    </row>
    <row r="6060" spans="1:4" x14ac:dyDescent="0.25">
      <c r="A6060" t="str">
        <f>T("GN")</f>
        <v>GN</v>
      </c>
      <c r="B6060" t="str">
        <f>T("Guinée")</f>
        <v>Guinée</v>
      </c>
    </row>
    <row r="6061" spans="1:4" x14ac:dyDescent="0.25">
      <c r="A6061" t="str">
        <f>T("   ZZ_Total_Produit_SH6")</f>
        <v xml:space="preserve">   ZZ_Total_Produit_SH6</v>
      </c>
      <c r="B6061" t="str">
        <f>T("   ZZ_Total_Produit_SH6")</f>
        <v xml:space="preserve">   ZZ_Total_Produit_SH6</v>
      </c>
      <c r="C6061">
        <v>2200185697</v>
      </c>
      <c r="D6061">
        <v>4829833</v>
      </c>
    </row>
    <row r="6062" spans="1:4" x14ac:dyDescent="0.25">
      <c r="A6062" t="str">
        <f>T("   030379")</f>
        <v xml:space="preserve">   030379</v>
      </c>
      <c r="B6062" t="s">
        <v>16</v>
      </c>
      <c r="C6062">
        <v>969376158</v>
      </c>
      <c r="D6062">
        <v>4308394</v>
      </c>
    </row>
    <row r="6063" spans="1:4" x14ac:dyDescent="0.25">
      <c r="A6063" t="str">
        <f>T("   300490")</f>
        <v xml:space="preserve">   300490</v>
      </c>
      <c r="B6063" t="s">
        <v>84</v>
      </c>
      <c r="C6063">
        <v>288103</v>
      </c>
      <c r="D6063">
        <v>36</v>
      </c>
    </row>
    <row r="6064" spans="1:4" x14ac:dyDescent="0.25">
      <c r="A6064" t="str">
        <f>T("   490199")</f>
        <v xml:space="preserve">   490199</v>
      </c>
      <c r="B606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064">
        <v>588103</v>
      </c>
      <c r="D6064">
        <v>55</v>
      </c>
    </row>
    <row r="6065" spans="1:4" x14ac:dyDescent="0.25">
      <c r="A6065" t="str">
        <f>T("   521159")</f>
        <v xml:space="preserve">   521159</v>
      </c>
      <c r="B6065" t="s">
        <v>242</v>
      </c>
      <c r="C6065">
        <v>100000</v>
      </c>
      <c r="D6065">
        <v>70</v>
      </c>
    </row>
    <row r="6066" spans="1:4" x14ac:dyDescent="0.25">
      <c r="A6066" t="str">
        <f>T("   620349")</f>
        <v xml:space="preserve">   620349</v>
      </c>
      <c r="B6066" t="s">
        <v>289</v>
      </c>
      <c r="C6066">
        <v>1725000</v>
      </c>
      <c r="D6066">
        <v>518</v>
      </c>
    </row>
    <row r="6067" spans="1:4" x14ac:dyDescent="0.25">
      <c r="A6067" t="str">
        <f>T("   620590")</f>
        <v xml:space="preserve">   620590</v>
      </c>
      <c r="B606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67">
        <v>1600000</v>
      </c>
      <c r="D6067">
        <v>1490</v>
      </c>
    </row>
    <row r="6068" spans="1:4" x14ac:dyDescent="0.25">
      <c r="A6068" t="str">
        <f>T("   620690")</f>
        <v xml:space="preserve">   620690</v>
      </c>
      <c r="B6068" t="s">
        <v>291</v>
      </c>
      <c r="C6068">
        <v>422551</v>
      </c>
      <c r="D6068">
        <v>52</v>
      </c>
    </row>
    <row r="6069" spans="1:4" x14ac:dyDescent="0.25">
      <c r="A6069" t="str">
        <f>T("   700992")</f>
        <v xml:space="preserve">   700992</v>
      </c>
      <c r="B6069" t="str">
        <f>T("   Miroirs, en verre encadrés (sauf miroirs rétroviseurs pour véhicules)")</f>
        <v xml:space="preserve">   Miroirs, en verre encadrés (sauf miroirs rétroviseurs pour véhicules)</v>
      </c>
      <c r="C6069">
        <v>10000</v>
      </c>
      <c r="D6069">
        <v>20</v>
      </c>
    </row>
    <row r="6070" spans="1:4" x14ac:dyDescent="0.25">
      <c r="A6070" t="str">
        <f>T("   732394")</f>
        <v xml:space="preserve">   732394</v>
      </c>
      <c r="B6070" t="s">
        <v>389</v>
      </c>
      <c r="C6070">
        <v>400000</v>
      </c>
      <c r="D6070">
        <v>840</v>
      </c>
    </row>
    <row r="6071" spans="1:4" x14ac:dyDescent="0.25">
      <c r="A6071" t="str">
        <f>T("   842641")</f>
        <v xml:space="preserve">   842641</v>
      </c>
      <c r="B6071"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6071">
        <v>89728768</v>
      </c>
      <c r="D6071">
        <v>41100</v>
      </c>
    </row>
    <row r="6072" spans="1:4" x14ac:dyDescent="0.25">
      <c r="A6072" t="str">
        <f>T("   843141")</f>
        <v xml:space="preserve">   843141</v>
      </c>
      <c r="B6072" t="str">
        <f>T("   Godets, bennes, bennes-preneuses, pelles, grappins et pinces pour machines et appareils du n° 8426, 8429 ou 8430")</f>
        <v xml:space="preserve">   Godets, bennes, bennes-preneuses, pelles, grappins et pinces pour machines et appareils du n° 8426, 8429 ou 8430</v>
      </c>
      <c r="C6072">
        <v>202390554</v>
      </c>
      <c r="D6072">
        <v>45075</v>
      </c>
    </row>
    <row r="6073" spans="1:4" x14ac:dyDescent="0.25">
      <c r="A6073" t="str">
        <f>T("   847190")</f>
        <v xml:space="preserve">   847190</v>
      </c>
      <c r="B607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073">
        <v>441757</v>
      </c>
      <c r="D6073">
        <v>23</v>
      </c>
    </row>
    <row r="6074" spans="1:4" x14ac:dyDescent="0.25">
      <c r="A6074" t="str">
        <f>T("   870421")</f>
        <v xml:space="preserve">   870421</v>
      </c>
      <c r="B6074" t="s">
        <v>512</v>
      </c>
      <c r="C6074">
        <v>211942745</v>
      </c>
      <c r="D6074">
        <v>26180</v>
      </c>
    </row>
    <row r="6075" spans="1:4" x14ac:dyDescent="0.25">
      <c r="A6075" t="str">
        <f>T("   870422")</f>
        <v xml:space="preserve">   870422</v>
      </c>
      <c r="B6075" t="s">
        <v>513</v>
      </c>
      <c r="C6075">
        <v>232894672</v>
      </c>
      <c r="D6075">
        <v>198000</v>
      </c>
    </row>
    <row r="6076" spans="1:4" x14ac:dyDescent="0.25">
      <c r="A6076" t="str">
        <f>T("   870423")</f>
        <v xml:space="preserve">   870423</v>
      </c>
      <c r="B6076" t="s">
        <v>514</v>
      </c>
      <c r="C6076">
        <v>478363190</v>
      </c>
      <c r="D6076">
        <v>198000</v>
      </c>
    </row>
    <row r="6077" spans="1:4" x14ac:dyDescent="0.25">
      <c r="A6077" t="str">
        <f>T("   871140")</f>
        <v xml:space="preserve">   871140</v>
      </c>
      <c r="B6077" t="str">
        <f>T("   Motocycles à moteur à piston alternatif, cylindrée &gt; 500 cm³ mais &lt;= 800 cm³")</f>
        <v xml:space="preserve">   Motocycles à moteur à piston alternatif, cylindrée &gt; 500 cm³ mais &lt;= 800 cm³</v>
      </c>
      <c r="C6077">
        <v>6384096</v>
      </c>
      <c r="D6077">
        <v>360</v>
      </c>
    </row>
    <row r="6078" spans="1:4" x14ac:dyDescent="0.25">
      <c r="A6078" t="str">
        <f>T("   940350")</f>
        <v xml:space="preserve">   940350</v>
      </c>
      <c r="B6078" t="str">
        <f>T("   Meubles pour chambres à coucher, en bois (sauf sièges)")</f>
        <v xml:space="preserve">   Meubles pour chambres à coucher, en bois (sauf sièges)</v>
      </c>
      <c r="C6078">
        <v>2700000</v>
      </c>
      <c r="D6078">
        <v>3000</v>
      </c>
    </row>
    <row r="6079" spans="1:4" x14ac:dyDescent="0.25">
      <c r="A6079" t="str">
        <f>T("   940360")</f>
        <v xml:space="preserve">   940360</v>
      </c>
      <c r="B6079" t="str">
        <f>T("   Meubles en bois (autres que pour bureaux, cuisines ou chambres à coucher et autres que sièges)")</f>
        <v xml:space="preserve">   Meubles en bois (autres que pour bureaux, cuisines ou chambres à coucher et autres que sièges)</v>
      </c>
      <c r="C6079">
        <v>800000</v>
      </c>
      <c r="D6079">
        <v>6550</v>
      </c>
    </row>
    <row r="6080" spans="1:4" x14ac:dyDescent="0.25">
      <c r="A6080" t="str">
        <f>T("   940410")</f>
        <v xml:space="preserve">   940410</v>
      </c>
      <c r="B6080" t="str">
        <f>T("   Sommiers (sauf ressorts pour sièges)")</f>
        <v xml:space="preserve">   Sommiers (sauf ressorts pour sièges)</v>
      </c>
      <c r="C6080">
        <v>30000</v>
      </c>
      <c r="D6080">
        <v>70</v>
      </c>
    </row>
    <row r="6081" spans="1:4" x14ac:dyDescent="0.25">
      <c r="A6081" t="str">
        <f>T("GQ")</f>
        <v>GQ</v>
      </c>
      <c r="B6081" t="str">
        <f>T("Guinée Equatoriale")</f>
        <v>Guinée Equatoriale</v>
      </c>
    </row>
    <row r="6082" spans="1:4" x14ac:dyDescent="0.25">
      <c r="A6082" t="str">
        <f>T("   ZZ_Total_Produit_SH6")</f>
        <v xml:space="preserve">   ZZ_Total_Produit_SH6</v>
      </c>
      <c r="B6082" t="str">
        <f>T("   ZZ_Total_Produit_SH6")</f>
        <v xml:space="preserve">   ZZ_Total_Produit_SH6</v>
      </c>
      <c r="C6082">
        <v>2053913174</v>
      </c>
      <c r="D6082">
        <v>6553663</v>
      </c>
    </row>
    <row r="6083" spans="1:4" x14ac:dyDescent="0.25">
      <c r="A6083" t="str">
        <f>T("   271113")</f>
        <v xml:space="preserve">   271113</v>
      </c>
      <c r="B6083" t="str">
        <f>T("   Butanes, liquéfiés (à l'excl. des butanes d'une pureté &gt;= 95% en n-butane ou en isobutane)")</f>
        <v xml:space="preserve">   Butanes, liquéfiés (à l'excl. des butanes d'une pureté &gt;= 95% en n-butane ou en isobutane)</v>
      </c>
      <c r="C6083">
        <v>2048128550</v>
      </c>
      <c r="D6083">
        <v>6538653</v>
      </c>
    </row>
    <row r="6084" spans="1:4" x14ac:dyDescent="0.25">
      <c r="A6084" t="str">
        <f>T("   821599")</f>
        <v xml:space="preserve">   821599</v>
      </c>
      <c r="B6084" t="s">
        <v>404</v>
      </c>
      <c r="C6084">
        <v>16497</v>
      </c>
      <c r="D6084">
        <v>3</v>
      </c>
    </row>
    <row r="6085" spans="1:4" x14ac:dyDescent="0.25">
      <c r="A6085" t="str">
        <f>T("   843890")</f>
        <v xml:space="preserve">   843890</v>
      </c>
      <c r="B6085"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6085">
        <v>5729633</v>
      </c>
      <c r="D6085">
        <v>15000</v>
      </c>
    </row>
    <row r="6086" spans="1:4" x14ac:dyDescent="0.25">
      <c r="A6086" t="str">
        <f>T("   851830")</f>
        <v xml:space="preserve">   851830</v>
      </c>
      <c r="B6086" t="s">
        <v>484</v>
      </c>
      <c r="C6086">
        <v>38494</v>
      </c>
      <c r="D6086">
        <v>7</v>
      </c>
    </row>
    <row r="6087" spans="1:4" x14ac:dyDescent="0.25">
      <c r="A6087" t="str">
        <f>T("GR")</f>
        <v>GR</v>
      </c>
      <c r="B6087" t="str">
        <f>T("Grèce")</f>
        <v>Grèce</v>
      </c>
    </row>
    <row r="6088" spans="1:4" x14ac:dyDescent="0.25">
      <c r="A6088" t="str">
        <f>T("   ZZ_Total_Produit_SH6")</f>
        <v xml:space="preserve">   ZZ_Total_Produit_SH6</v>
      </c>
      <c r="B6088" t="str">
        <f>T("   ZZ_Total_Produit_SH6")</f>
        <v xml:space="preserve">   ZZ_Total_Produit_SH6</v>
      </c>
      <c r="C6088">
        <v>5757949432</v>
      </c>
      <c r="D6088">
        <v>158863536</v>
      </c>
    </row>
    <row r="6089" spans="1:4" x14ac:dyDescent="0.25">
      <c r="A6089" t="str">
        <f>T("   020714")</f>
        <v xml:space="preserve">   020714</v>
      </c>
      <c r="B6089" t="str">
        <f>T("   Morceaux et abats comestibles de coqs et de poules [des espèces domestiques], congelés")</f>
        <v xml:space="preserve">   Morceaux et abats comestibles de coqs et de poules [des espèces domestiques], congelés</v>
      </c>
      <c r="C6089">
        <v>15550011</v>
      </c>
      <c r="D6089">
        <v>25000</v>
      </c>
    </row>
    <row r="6090" spans="1:4" x14ac:dyDescent="0.25">
      <c r="A6090" t="str">
        <f>T("   252310")</f>
        <v xml:space="preserve">   252310</v>
      </c>
      <c r="B6090" t="str">
        <f>T("   Ciments non pulvérisés dits 'clinkers'")</f>
        <v xml:space="preserve">   Ciments non pulvérisés dits 'clinkers'</v>
      </c>
      <c r="C6090">
        <v>5556985000</v>
      </c>
      <c r="D6090">
        <v>158771000</v>
      </c>
    </row>
    <row r="6091" spans="1:4" x14ac:dyDescent="0.25">
      <c r="A6091" t="str">
        <f>T("   300420")</f>
        <v xml:space="preserve">   300420</v>
      </c>
      <c r="B6091" t="s">
        <v>79</v>
      </c>
      <c r="C6091">
        <v>98394</v>
      </c>
      <c r="D6091">
        <v>158</v>
      </c>
    </row>
    <row r="6092" spans="1:4" x14ac:dyDescent="0.25">
      <c r="A6092" t="str">
        <f>T("   401039")</f>
        <v xml:space="preserve">   401039</v>
      </c>
      <c r="B6092" t="s">
        <v>164</v>
      </c>
      <c r="C6092">
        <v>1317401</v>
      </c>
      <c r="D6092">
        <v>48</v>
      </c>
    </row>
    <row r="6093" spans="1:4" x14ac:dyDescent="0.25">
      <c r="A6093" t="str">
        <f>T("   730820")</f>
        <v xml:space="preserve">   730820</v>
      </c>
      <c r="B6093" t="str">
        <f>T("   Tours et pylônes, en fer ou en acier")</f>
        <v xml:space="preserve">   Tours et pylônes, en fer ou en acier</v>
      </c>
      <c r="C6093">
        <v>145951100</v>
      </c>
      <c r="D6093">
        <v>32188</v>
      </c>
    </row>
    <row r="6094" spans="1:4" x14ac:dyDescent="0.25">
      <c r="A6094" t="str">
        <f>T("   730900")</f>
        <v xml:space="preserve">   730900</v>
      </c>
      <c r="B6094" t="s">
        <v>377</v>
      </c>
      <c r="C6094">
        <v>37951222</v>
      </c>
      <c r="D6094">
        <v>35000</v>
      </c>
    </row>
    <row r="6095" spans="1:4" x14ac:dyDescent="0.25">
      <c r="A6095" t="str">
        <f>T("   841121")</f>
        <v xml:space="preserve">   841121</v>
      </c>
      <c r="B6095" t="str">
        <f>T("   Turbopropulseurs, puissance &lt;= 1.100 kW")</f>
        <v xml:space="preserve">   Turbopropulseurs, puissance &lt;= 1.100 kW</v>
      </c>
      <c r="C6095">
        <v>50000</v>
      </c>
      <c r="D6095">
        <v>17</v>
      </c>
    </row>
    <row r="6096" spans="1:4" x14ac:dyDescent="0.25">
      <c r="A6096" t="str">
        <f>T("   841381")</f>
        <v xml:space="preserve">   841381</v>
      </c>
      <c r="B6096" t="s">
        <v>420</v>
      </c>
      <c r="C6096">
        <v>46304</v>
      </c>
      <c r="D6096">
        <v>125</v>
      </c>
    </row>
    <row r="6097" spans="1:4" x14ac:dyDescent="0.25">
      <c r="A6097" t="str">
        <f>T("GS")</f>
        <v>GS</v>
      </c>
      <c r="B6097" t="str">
        <f>T("Géorgie du Sud et îles sandwich sud")</f>
        <v>Géorgie du Sud et îles sandwich sud</v>
      </c>
    </row>
    <row r="6098" spans="1:4" x14ac:dyDescent="0.25">
      <c r="A6098" t="str">
        <f>T("   ZZ_Total_Produit_SH6")</f>
        <v xml:space="preserve">   ZZ_Total_Produit_SH6</v>
      </c>
      <c r="B6098" t="str">
        <f>T("   ZZ_Total_Produit_SH6")</f>
        <v xml:space="preserve">   ZZ_Total_Produit_SH6</v>
      </c>
      <c r="C6098">
        <v>2214766</v>
      </c>
      <c r="D6098">
        <v>5879</v>
      </c>
    </row>
    <row r="6099" spans="1:4" x14ac:dyDescent="0.25">
      <c r="A6099" t="str">
        <f>T("   610469")</f>
        <v xml:space="preserve">   610469</v>
      </c>
      <c r="B6099" t="s">
        <v>280</v>
      </c>
      <c r="C6099">
        <v>2180000</v>
      </c>
      <c r="D6099">
        <v>5868</v>
      </c>
    </row>
    <row r="6100" spans="1:4" x14ac:dyDescent="0.25">
      <c r="A6100" t="str">
        <f>T("   851712")</f>
        <v xml:space="preserve">   851712</v>
      </c>
      <c r="B6100" t="str">
        <f>T("   TÉLÉPHONES POUR RÉSEAUX CELLULAIRES [TÉLÉPHONES MOBILES] ET POUR AUTRES RÉSEAUX SANS FIL")</f>
        <v xml:space="preserve">   TÉLÉPHONES POUR RÉSEAUX CELLULAIRES [TÉLÉPHONES MOBILES] ET POUR AUTRES RÉSEAUX SANS FIL</v>
      </c>
      <c r="C6100">
        <v>34766</v>
      </c>
      <c r="D6100">
        <v>11</v>
      </c>
    </row>
    <row r="6101" spans="1:4" x14ac:dyDescent="0.25">
      <c r="A6101" t="str">
        <f>T("GT")</f>
        <v>GT</v>
      </c>
      <c r="B6101" t="str">
        <f>T("Guatemala")</f>
        <v>Guatemala</v>
      </c>
    </row>
    <row r="6102" spans="1:4" x14ac:dyDescent="0.25">
      <c r="A6102" t="str">
        <f>T("   ZZ_Total_Produit_SH6")</f>
        <v xml:space="preserve">   ZZ_Total_Produit_SH6</v>
      </c>
      <c r="B6102" t="str">
        <f>T("   ZZ_Total_Produit_SH6")</f>
        <v xml:space="preserve">   ZZ_Total_Produit_SH6</v>
      </c>
      <c r="C6102">
        <v>1847581036.6760001</v>
      </c>
      <c r="D6102">
        <v>8000000</v>
      </c>
    </row>
    <row r="6103" spans="1:4" x14ac:dyDescent="0.25">
      <c r="A6103" t="str">
        <f>T("   170191")</f>
        <v xml:space="preserve">   170191</v>
      </c>
      <c r="B6103" t="str">
        <f>T("   Sucres de canne ou de betterave, à l'état solide, additionnés d'aromatisants ou de colorants")</f>
        <v xml:space="preserve">   Sucres de canne ou de betterave, à l'état solide, additionnés d'aromatisants ou de colorants</v>
      </c>
      <c r="C6103">
        <v>639942898.18900001</v>
      </c>
      <c r="D6103">
        <v>2750000</v>
      </c>
    </row>
    <row r="6104" spans="1:4" x14ac:dyDescent="0.25">
      <c r="A6104" t="str">
        <f>T("   170199")</f>
        <v xml:space="preserve">   170199</v>
      </c>
      <c r="B6104"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6104">
        <v>1207638138.487</v>
      </c>
      <c r="D6104">
        <v>5250000</v>
      </c>
    </row>
    <row r="6105" spans="1:4" x14ac:dyDescent="0.25">
      <c r="A6105" t="str">
        <f>T("GU")</f>
        <v>GU</v>
      </c>
      <c r="B6105" t="str">
        <f>T("Guam")</f>
        <v>Guam</v>
      </c>
    </row>
    <row r="6106" spans="1:4" x14ac:dyDescent="0.25">
      <c r="A6106" t="str">
        <f>T("   ZZ_Total_Produit_SH6")</f>
        <v xml:space="preserve">   ZZ_Total_Produit_SH6</v>
      </c>
      <c r="B6106" t="str">
        <f>T("   ZZ_Total_Produit_SH6")</f>
        <v xml:space="preserve">   ZZ_Total_Produit_SH6</v>
      </c>
      <c r="C6106">
        <v>10000</v>
      </c>
      <c r="D6106">
        <v>18</v>
      </c>
    </row>
    <row r="6107" spans="1:4" x14ac:dyDescent="0.25">
      <c r="A6107" t="str">
        <f>T("   300490")</f>
        <v xml:space="preserve">   300490</v>
      </c>
      <c r="B6107" t="s">
        <v>84</v>
      </c>
      <c r="C6107">
        <v>10000</v>
      </c>
      <c r="D6107">
        <v>18</v>
      </c>
    </row>
    <row r="6108" spans="1:4" x14ac:dyDescent="0.25">
      <c r="A6108" t="str">
        <f>T("GW")</f>
        <v>GW</v>
      </c>
      <c r="B6108" t="str">
        <f>T("Guinée-Bissau")</f>
        <v>Guinée-Bissau</v>
      </c>
    </row>
    <row r="6109" spans="1:4" x14ac:dyDescent="0.25">
      <c r="A6109" t="str">
        <f>T("   ZZ_Total_Produit_SH6")</f>
        <v xml:space="preserve">   ZZ_Total_Produit_SH6</v>
      </c>
      <c r="B6109" t="str">
        <f>T("   ZZ_Total_Produit_SH6")</f>
        <v xml:space="preserve">   ZZ_Total_Produit_SH6</v>
      </c>
      <c r="C6109">
        <v>884638120</v>
      </c>
      <c r="D6109">
        <v>3925361</v>
      </c>
    </row>
    <row r="6110" spans="1:4" x14ac:dyDescent="0.25">
      <c r="A6110" t="str">
        <f>T("   030379")</f>
        <v xml:space="preserve">   030379</v>
      </c>
      <c r="B6110" t="s">
        <v>16</v>
      </c>
      <c r="C6110">
        <v>879304373</v>
      </c>
      <c r="D6110">
        <v>3908081</v>
      </c>
    </row>
    <row r="6111" spans="1:4" x14ac:dyDescent="0.25">
      <c r="A6111" t="str">
        <f>T("   621040")</f>
        <v xml:space="preserve">   621040</v>
      </c>
      <c r="B6111" t="s">
        <v>294</v>
      </c>
      <c r="C6111">
        <v>1000000</v>
      </c>
      <c r="D6111">
        <v>13030</v>
      </c>
    </row>
    <row r="6112" spans="1:4" x14ac:dyDescent="0.25">
      <c r="A6112" t="str">
        <f>T("   870332")</f>
        <v xml:space="preserve">   870332</v>
      </c>
      <c r="B6112" t="s">
        <v>510</v>
      </c>
      <c r="C6112">
        <v>4333747</v>
      </c>
      <c r="D6112">
        <v>4250</v>
      </c>
    </row>
    <row r="6113" spans="1:4" x14ac:dyDescent="0.25">
      <c r="A6113" t="str">
        <f>T("HK")</f>
        <v>HK</v>
      </c>
      <c r="B6113" t="str">
        <f>T("Hong-Kong")</f>
        <v>Hong-Kong</v>
      </c>
    </row>
    <row r="6114" spans="1:4" x14ac:dyDescent="0.25">
      <c r="A6114" t="str">
        <f>T("   ZZ_Total_Produit_SH6")</f>
        <v xml:space="preserve">   ZZ_Total_Produit_SH6</v>
      </c>
      <c r="B6114" t="str">
        <f>T("   ZZ_Total_Produit_SH6")</f>
        <v xml:space="preserve">   ZZ_Total_Produit_SH6</v>
      </c>
      <c r="C6114">
        <v>10137680416.452999</v>
      </c>
      <c r="D6114">
        <v>25740766.969999999</v>
      </c>
    </row>
    <row r="6115" spans="1:4" x14ac:dyDescent="0.25">
      <c r="A6115" t="str">
        <f>T("   040210")</f>
        <v xml:space="preserve">   040210</v>
      </c>
      <c r="B6115"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115">
        <v>559248990</v>
      </c>
      <c r="D6115">
        <v>193677</v>
      </c>
    </row>
    <row r="6116" spans="1:4" x14ac:dyDescent="0.25">
      <c r="A6116" t="str">
        <f>T("   040221")</f>
        <v xml:space="preserve">   040221</v>
      </c>
      <c r="B611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116">
        <v>52479000</v>
      </c>
      <c r="D6116">
        <v>19764</v>
      </c>
    </row>
    <row r="6117" spans="1:4" x14ac:dyDescent="0.25">
      <c r="A6117" t="str">
        <f>T("   090111")</f>
        <v xml:space="preserve">   090111</v>
      </c>
      <c r="B6117" t="str">
        <f>T("   Café, non torréfié, non décaféiné")</f>
        <v xml:space="preserve">   Café, non torréfié, non décaféiné</v>
      </c>
      <c r="C6117">
        <v>2671212</v>
      </c>
      <c r="D6117">
        <v>1834</v>
      </c>
    </row>
    <row r="6118" spans="1:4" x14ac:dyDescent="0.25">
      <c r="A6118" t="str">
        <f>T("   100620")</f>
        <v xml:space="preserve">   100620</v>
      </c>
      <c r="B6118" t="str">
        <f>T("   Riz décortiqué [riz cargo ou riz brun]")</f>
        <v xml:space="preserve">   Riz décortiqué [riz cargo ou riz brun]</v>
      </c>
      <c r="C6118">
        <v>36942276.454999998</v>
      </c>
      <c r="D6118">
        <v>110000</v>
      </c>
    </row>
    <row r="6119" spans="1:4" x14ac:dyDescent="0.25">
      <c r="A6119" t="str">
        <f>T("   100630")</f>
        <v xml:space="preserve">   100630</v>
      </c>
      <c r="B6119" t="str">
        <f>T("   Riz semi-blanchi ou blanchi, même poli ou glacé")</f>
        <v xml:space="preserve">   Riz semi-blanchi ou blanchi, même poli ou glacé</v>
      </c>
      <c r="C6119">
        <v>1467509430.2650001</v>
      </c>
      <c r="D6119">
        <v>3996185</v>
      </c>
    </row>
    <row r="6120" spans="1:4" x14ac:dyDescent="0.25">
      <c r="A6120" t="str">
        <f>T("   100640")</f>
        <v xml:space="preserve">   100640</v>
      </c>
      <c r="B6120" t="str">
        <f>T("   Riz en brisures")</f>
        <v xml:space="preserve">   Riz en brisures</v>
      </c>
      <c r="C6120">
        <v>210976594.83199999</v>
      </c>
      <c r="D6120">
        <v>1876470</v>
      </c>
    </row>
    <row r="6121" spans="1:4" x14ac:dyDescent="0.25">
      <c r="A6121" t="str">
        <f>T("   151190")</f>
        <v xml:space="preserve">   151190</v>
      </c>
      <c r="B6121" t="str">
        <f>T("   Huile de palme et ses fractions, même raffinées, mais non chimiquement modifiées (à l'excl. de l'huile de palme brute)")</f>
        <v xml:space="preserve">   Huile de palme et ses fractions, même raffinées, mais non chimiquement modifiées (à l'excl. de l'huile de palme brute)</v>
      </c>
      <c r="C6121">
        <v>939877139.90100002</v>
      </c>
      <c r="D6121">
        <v>2440813</v>
      </c>
    </row>
    <row r="6122" spans="1:4" x14ac:dyDescent="0.25">
      <c r="A6122" t="str">
        <f>T("   151610")</f>
        <v xml:space="preserve">   151610</v>
      </c>
      <c r="B6122" t="str">
        <f>T("   Graisses et huiles animales et leurs fractions, partiellement ou totalement hydrogénées, interestérifiées, réestérifiées ou élaïdinisées, même raffinées, mais non autrement préparées")</f>
        <v xml:space="preserve">   Graisses et huiles animales et leurs fractions, partiellement ou totalement hydrogénées, interestérifiées, réestérifiées ou élaïdinisées, même raffinées, mais non autrement préparées</v>
      </c>
      <c r="C6122">
        <v>5500000</v>
      </c>
      <c r="D6122">
        <v>17936</v>
      </c>
    </row>
    <row r="6123" spans="1:4" x14ac:dyDescent="0.25">
      <c r="A6123" t="str">
        <f>T("   151620")</f>
        <v xml:space="preserve">   151620</v>
      </c>
      <c r="B6123"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123">
        <v>522300000</v>
      </c>
      <c r="D6123">
        <v>1847797</v>
      </c>
    </row>
    <row r="6124" spans="1:4" x14ac:dyDescent="0.25">
      <c r="A6124" t="str">
        <f>T("   151710")</f>
        <v xml:space="preserve">   151710</v>
      </c>
      <c r="B6124" t="str">
        <f>T("   Margarine (à l'excl. de la margarine liquide)")</f>
        <v xml:space="preserve">   Margarine (à l'excl. de la margarine liquide)</v>
      </c>
      <c r="C6124">
        <v>4190000</v>
      </c>
      <c r="D6124">
        <v>19500</v>
      </c>
    </row>
    <row r="6125" spans="1:4" x14ac:dyDescent="0.25">
      <c r="A6125" t="str">
        <f>T("   160413")</f>
        <v xml:space="preserve">   160413</v>
      </c>
      <c r="B6125"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125">
        <v>31712690</v>
      </c>
      <c r="D6125">
        <v>60000</v>
      </c>
    </row>
    <row r="6126" spans="1:4" x14ac:dyDescent="0.25">
      <c r="A6126" t="str">
        <f>T("   170490")</f>
        <v xml:space="preserve">   170490</v>
      </c>
      <c r="B6126" t="str">
        <f>T("   Sucreries sans cacao, y.c. le chocolat blanc (à l'excl. des gommes à mâcher)")</f>
        <v xml:space="preserve">   Sucreries sans cacao, y.c. le chocolat blanc (à l'excl. des gommes à mâcher)</v>
      </c>
      <c r="C6126">
        <v>21947018</v>
      </c>
      <c r="D6126">
        <v>88665</v>
      </c>
    </row>
    <row r="6127" spans="1:4" x14ac:dyDescent="0.25">
      <c r="A6127" t="str">
        <f>T("   180620")</f>
        <v xml:space="preserve">   180620</v>
      </c>
      <c r="B6127" t="s">
        <v>47</v>
      </c>
      <c r="C6127">
        <v>232581928</v>
      </c>
      <c r="D6127">
        <v>395277</v>
      </c>
    </row>
    <row r="6128" spans="1:4" x14ac:dyDescent="0.25">
      <c r="A6128" t="str">
        <f>T("   190120")</f>
        <v xml:space="preserve">   190120</v>
      </c>
      <c r="B6128" t="s">
        <v>49</v>
      </c>
      <c r="C6128">
        <v>22362516</v>
      </c>
      <c r="D6128">
        <v>16376</v>
      </c>
    </row>
    <row r="6129" spans="1:4" x14ac:dyDescent="0.25">
      <c r="A6129" t="str">
        <f>T("   190190")</f>
        <v xml:space="preserve">   190190</v>
      </c>
      <c r="B6129" t="s">
        <v>50</v>
      </c>
      <c r="C6129">
        <v>1184264356</v>
      </c>
      <c r="D6129">
        <v>3375108</v>
      </c>
    </row>
    <row r="6130" spans="1:4" x14ac:dyDescent="0.25">
      <c r="A6130" t="str">
        <f>T("   190219")</f>
        <v xml:space="preserve">   190219</v>
      </c>
      <c r="B6130" t="str">
        <f>T("   PÂTES ALIMENTAIRES NON-CUITES NI FARCIES NI AUTREMENT PRÉPARÉES, NE CONTENANT PAS D'OEUFS")</f>
        <v xml:space="preserve">   PÂTES ALIMENTAIRES NON-CUITES NI FARCIES NI AUTREMENT PRÉPARÉES, NE CONTENANT PAS D'OEUFS</v>
      </c>
      <c r="C6130">
        <v>212789456</v>
      </c>
      <c r="D6130">
        <v>877602</v>
      </c>
    </row>
    <row r="6131" spans="1:4" x14ac:dyDescent="0.25">
      <c r="A6131" t="str">
        <f>T("   190230")</f>
        <v xml:space="preserve">   190230</v>
      </c>
      <c r="B6131" t="str">
        <f>T("   Pâtes alimentaires, cuites ou autrement préparées (à l'excl. des pâtes alimentaires farcies)")</f>
        <v xml:space="preserve">   Pâtes alimentaires, cuites ou autrement préparées (à l'excl. des pâtes alimentaires farcies)</v>
      </c>
      <c r="C6131">
        <v>130576406</v>
      </c>
      <c r="D6131">
        <v>525446</v>
      </c>
    </row>
    <row r="6132" spans="1:4" x14ac:dyDescent="0.25">
      <c r="A6132" t="str">
        <f>T("   190531")</f>
        <v xml:space="preserve">   190531</v>
      </c>
      <c r="B6132" t="str">
        <f>T("   Biscuits additionnés d'édulcorants")</f>
        <v xml:space="preserve">   Biscuits additionnés d'édulcorants</v>
      </c>
      <c r="C6132">
        <v>6651471</v>
      </c>
      <c r="D6132">
        <v>17580</v>
      </c>
    </row>
    <row r="6133" spans="1:4" x14ac:dyDescent="0.25">
      <c r="A6133" t="str">
        <f>T("   200290")</f>
        <v xml:space="preserve">   200290</v>
      </c>
      <c r="B6133"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133">
        <v>996234145</v>
      </c>
      <c r="D6133">
        <v>3095597</v>
      </c>
    </row>
    <row r="6134" spans="1:4" x14ac:dyDescent="0.25">
      <c r="A6134" t="str">
        <f>T("   200540")</f>
        <v xml:space="preserve">   200540</v>
      </c>
      <c r="B6134" t="str">
        <f>T("   Pois [Pisum sativum], préparés ou conservés autrement qu'au vinaigre ou à l'acide acétique, non congelés")</f>
        <v xml:space="preserve">   Pois [Pisum sativum], préparés ou conservés autrement qu'au vinaigre ou à l'acide acétique, non congelés</v>
      </c>
      <c r="C6134">
        <v>10849138</v>
      </c>
      <c r="D6134">
        <v>63719</v>
      </c>
    </row>
    <row r="6135" spans="1:4" x14ac:dyDescent="0.25">
      <c r="A6135" t="str">
        <f>T("   210210")</f>
        <v xml:space="preserve">   210210</v>
      </c>
      <c r="B6135" t="str">
        <f>T("   Levures vivantes")</f>
        <v xml:space="preserve">   Levures vivantes</v>
      </c>
      <c r="C6135">
        <v>101281719</v>
      </c>
      <c r="D6135">
        <v>73203</v>
      </c>
    </row>
    <row r="6136" spans="1:4" x14ac:dyDescent="0.25">
      <c r="A6136" t="str">
        <f>T("   210390")</f>
        <v xml:space="preserve">   210390</v>
      </c>
      <c r="B613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136">
        <v>593517982</v>
      </c>
      <c r="D6136">
        <v>1251786</v>
      </c>
    </row>
    <row r="6137" spans="1:4" x14ac:dyDescent="0.25">
      <c r="A6137" t="str">
        <f>T("   210690")</f>
        <v xml:space="preserve">   210690</v>
      </c>
      <c r="B6137" t="str">
        <f>T("   Préparations alimentaires, n.d.a.")</f>
        <v xml:space="preserve">   Préparations alimentaires, n.d.a.</v>
      </c>
      <c r="C6137">
        <v>8202837</v>
      </c>
      <c r="D6137">
        <v>8426</v>
      </c>
    </row>
    <row r="6138" spans="1:4" x14ac:dyDescent="0.25">
      <c r="A6138" t="str">
        <f>T("   220290")</f>
        <v xml:space="preserve">   220290</v>
      </c>
      <c r="B6138" t="str">
        <f>T("   BOISSONS NON-ALCOOLIQUES (À L'EXCL. DES EAUX, DES JUS DE FRUITS OU DE LÉGUMES AINSI QUE DU LAIT)")</f>
        <v xml:space="preserve">   BOISSONS NON-ALCOOLIQUES (À L'EXCL. DES EAUX, DES JUS DE FRUITS OU DE LÉGUMES AINSI QUE DU LAIT)</v>
      </c>
      <c r="C6138">
        <v>22905021</v>
      </c>
      <c r="D6138">
        <v>49584</v>
      </c>
    </row>
    <row r="6139" spans="1:4" x14ac:dyDescent="0.25">
      <c r="A6139" t="str">
        <f>T("   250100")</f>
        <v xml:space="preserve">   250100</v>
      </c>
      <c r="B6139" t="s">
        <v>63</v>
      </c>
      <c r="C6139">
        <v>431614</v>
      </c>
      <c r="D6139">
        <v>500</v>
      </c>
    </row>
    <row r="6140" spans="1:4" x14ac:dyDescent="0.25">
      <c r="A6140" t="str">
        <f>T("   300490")</f>
        <v xml:space="preserve">   300490</v>
      </c>
      <c r="B6140" t="s">
        <v>84</v>
      </c>
      <c r="C6140">
        <v>2752408</v>
      </c>
      <c r="D6140">
        <v>253</v>
      </c>
    </row>
    <row r="6141" spans="1:4" x14ac:dyDescent="0.25">
      <c r="A6141" t="str">
        <f>T("   330300")</f>
        <v xml:space="preserve">   330300</v>
      </c>
      <c r="B6141"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141">
        <v>1129655</v>
      </c>
      <c r="D6141">
        <v>718</v>
      </c>
    </row>
    <row r="6142" spans="1:4" x14ac:dyDescent="0.25">
      <c r="A6142" t="str">
        <f>T("   330430")</f>
        <v xml:space="preserve">   330430</v>
      </c>
      <c r="B6142" t="str">
        <f>T("   Préparations pour manucures ou pédicures")</f>
        <v xml:space="preserve">   Préparations pour manucures ou pédicures</v>
      </c>
      <c r="C6142">
        <v>2032014</v>
      </c>
      <c r="D6142">
        <v>987</v>
      </c>
    </row>
    <row r="6143" spans="1:4" x14ac:dyDescent="0.25">
      <c r="A6143" t="str">
        <f>T("   330510")</f>
        <v xml:space="preserve">   330510</v>
      </c>
      <c r="B6143" t="str">
        <f>T("   Shampooings")</f>
        <v xml:space="preserve">   Shampooings</v>
      </c>
      <c r="C6143">
        <v>671399</v>
      </c>
      <c r="D6143">
        <v>870</v>
      </c>
    </row>
    <row r="6144" spans="1:4" x14ac:dyDescent="0.25">
      <c r="A6144" t="str">
        <f>T("   330749")</f>
        <v xml:space="preserve">   330749</v>
      </c>
      <c r="B614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144">
        <v>15683368</v>
      </c>
      <c r="D6144">
        <v>38084</v>
      </c>
    </row>
    <row r="6145" spans="1:4" x14ac:dyDescent="0.25">
      <c r="A6145" t="str">
        <f>T("   330790")</f>
        <v xml:space="preserve">   330790</v>
      </c>
      <c r="B6145" t="str">
        <f>T("   Dépilatoires, autres produits de parfumerie ou de toilette préparés et autres préparations cosmétiques, n.d.a.")</f>
        <v xml:space="preserve">   Dépilatoires, autres produits de parfumerie ou de toilette préparés et autres préparations cosmétiques, n.d.a.</v>
      </c>
      <c r="C6145">
        <v>16473885</v>
      </c>
      <c r="D6145">
        <v>9643</v>
      </c>
    </row>
    <row r="6146" spans="1:4" x14ac:dyDescent="0.25">
      <c r="A6146" t="str">
        <f>T("   340111")</f>
        <v xml:space="preserve">   340111</v>
      </c>
      <c r="B6146" t="s">
        <v>107</v>
      </c>
      <c r="C6146">
        <v>27140958</v>
      </c>
      <c r="D6146">
        <v>103768</v>
      </c>
    </row>
    <row r="6147" spans="1:4" x14ac:dyDescent="0.25">
      <c r="A6147" t="str">
        <f>T("   340119")</f>
        <v xml:space="preserve">   340119</v>
      </c>
      <c r="B6147" t="s">
        <v>108</v>
      </c>
      <c r="C6147">
        <v>42495425</v>
      </c>
      <c r="D6147">
        <v>105522</v>
      </c>
    </row>
    <row r="6148" spans="1:4" x14ac:dyDescent="0.25">
      <c r="A6148" t="str">
        <f>T("   340290")</f>
        <v xml:space="preserve">   340290</v>
      </c>
      <c r="B6148" t="s">
        <v>110</v>
      </c>
      <c r="C6148">
        <v>5182675</v>
      </c>
      <c r="D6148">
        <v>14049</v>
      </c>
    </row>
    <row r="6149" spans="1:4" x14ac:dyDescent="0.25">
      <c r="A6149" t="str">
        <f>T("   340530")</f>
        <v xml:space="preserve">   340530</v>
      </c>
      <c r="B6149" t="s">
        <v>116</v>
      </c>
      <c r="C6149">
        <v>17901296</v>
      </c>
      <c r="D6149">
        <v>14037</v>
      </c>
    </row>
    <row r="6150" spans="1:4" x14ac:dyDescent="0.25">
      <c r="A6150" t="str">
        <f>T("   340590")</f>
        <v xml:space="preserve">   340590</v>
      </c>
      <c r="B6150"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6150">
        <v>4565208</v>
      </c>
      <c r="D6150">
        <v>8432</v>
      </c>
    </row>
    <row r="6151" spans="1:4" x14ac:dyDescent="0.25">
      <c r="A6151" t="str">
        <f>T("   350610")</f>
        <v xml:space="preserve">   350610</v>
      </c>
      <c r="B6151"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151">
        <v>607456</v>
      </c>
      <c r="D6151">
        <v>1040</v>
      </c>
    </row>
    <row r="6152" spans="1:4" x14ac:dyDescent="0.25">
      <c r="A6152" t="str">
        <f>T("   360500")</f>
        <v xml:space="preserve">   360500</v>
      </c>
      <c r="B6152" t="str">
        <f>T("   Allumettes (autres que les articles de pyrotechnie du n° 3604)")</f>
        <v xml:space="preserve">   Allumettes (autres que les articles de pyrotechnie du n° 3604)</v>
      </c>
      <c r="C6152">
        <v>160844929</v>
      </c>
      <c r="D6152">
        <v>364289</v>
      </c>
    </row>
    <row r="6153" spans="1:4" x14ac:dyDescent="0.25">
      <c r="A6153" t="str">
        <f>T("   380850")</f>
        <v xml:space="preserve">   380850</v>
      </c>
      <c r="B6153" t="s">
        <v>125</v>
      </c>
      <c r="C6153">
        <v>10766326</v>
      </c>
      <c r="D6153">
        <v>9838</v>
      </c>
    </row>
    <row r="6154" spans="1:4" x14ac:dyDescent="0.25">
      <c r="A6154" t="str">
        <f>T("   382200")</f>
        <v xml:space="preserve">   382200</v>
      </c>
      <c r="B6154" t="s">
        <v>133</v>
      </c>
      <c r="C6154">
        <v>5016238</v>
      </c>
      <c r="D6154">
        <v>158</v>
      </c>
    </row>
    <row r="6155" spans="1:4" x14ac:dyDescent="0.25">
      <c r="A6155" t="str">
        <f>T("   391890")</f>
        <v xml:space="preserve">   391890</v>
      </c>
      <c r="B6155" t="s">
        <v>138</v>
      </c>
      <c r="C6155">
        <v>1646525</v>
      </c>
      <c r="D6155">
        <v>1360</v>
      </c>
    </row>
    <row r="6156" spans="1:4" x14ac:dyDescent="0.25">
      <c r="A6156" t="str">
        <f>T("   392410")</f>
        <v xml:space="preserve">   392410</v>
      </c>
      <c r="B6156" t="str">
        <f>T("   Vaisselle et autres articles pour le service de la table ou de la cuisine, en matières plastiques")</f>
        <v xml:space="preserve">   Vaisselle et autres articles pour le service de la table ou de la cuisine, en matières plastiques</v>
      </c>
      <c r="C6156">
        <v>819537</v>
      </c>
      <c r="D6156">
        <v>130</v>
      </c>
    </row>
    <row r="6157" spans="1:4" x14ac:dyDescent="0.25">
      <c r="A6157" t="str">
        <f>T("   392610")</f>
        <v xml:space="preserve">   392610</v>
      </c>
      <c r="B6157" t="str">
        <f>T("   Articles de bureau et articles scolaires, en matières plastiques, n.d.a.")</f>
        <v xml:space="preserve">   Articles de bureau et articles scolaires, en matières plastiques, n.d.a.</v>
      </c>
      <c r="C6157">
        <v>692713</v>
      </c>
      <c r="D6157">
        <v>850</v>
      </c>
    </row>
    <row r="6158" spans="1:4" x14ac:dyDescent="0.25">
      <c r="A6158" t="str">
        <f>T("   392690")</f>
        <v xml:space="preserve">   392690</v>
      </c>
      <c r="B6158" t="str">
        <f>T("   Ouvrages en matières plastiques et ouvrages en autres matières du n° 3901 à 3914, n.d.a.")</f>
        <v xml:space="preserve">   Ouvrages en matières plastiques et ouvrages en autres matières du n° 3901 à 3914, n.d.a.</v>
      </c>
      <c r="C6158">
        <v>6878427</v>
      </c>
      <c r="D6158">
        <v>6361</v>
      </c>
    </row>
    <row r="6159" spans="1:4" x14ac:dyDescent="0.25">
      <c r="A6159" t="str">
        <f>T("   401120")</f>
        <v xml:space="preserve">   401120</v>
      </c>
      <c r="B615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159">
        <v>25900000</v>
      </c>
      <c r="D6159">
        <v>28484</v>
      </c>
    </row>
    <row r="6160" spans="1:4" x14ac:dyDescent="0.25">
      <c r="A6160" t="str">
        <f>T("   401693")</f>
        <v xml:space="preserve">   401693</v>
      </c>
      <c r="B6160" t="str">
        <f>T("   Joints en caoutchouc vulcanisé non durci (à l'excl. des articles en caoutchouc alvéolaire)")</f>
        <v xml:space="preserve">   Joints en caoutchouc vulcanisé non durci (à l'excl. des articles en caoutchouc alvéolaire)</v>
      </c>
      <c r="C6160">
        <v>1677357</v>
      </c>
      <c r="D6160">
        <v>478</v>
      </c>
    </row>
    <row r="6161" spans="1:4" x14ac:dyDescent="0.25">
      <c r="A6161" t="str">
        <f>T("   401699")</f>
        <v xml:space="preserve">   401699</v>
      </c>
      <c r="B6161" t="str">
        <f>T("   OUVRAGES EN CAOUTCHOUC VULCANISÉ NON-DURCI, N.D.A.")</f>
        <v xml:space="preserve">   OUVRAGES EN CAOUTCHOUC VULCANISÉ NON-DURCI, N.D.A.</v>
      </c>
      <c r="C6161">
        <v>111777</v>
      </c>
      <c r="D6161">
        <v>45</v>
      </c>
    </row>
    <row r="6162" spans="1:4" x14ac:dyDescent="0.25">
      <c r="A6162" t="str">
        <f>T("   420229")</f>
        <v xml:space="preserve">   420229</v>
      </c>
      <c r="B616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162">
        <v>6550000</v>
      </c>
      <c r="D6162">
        <v>16000</v>
      </c>
    </row>
    <row r="6163" spans="1:4" x14ac:dyDescent="0.25">
      <c r="A6163" t="str">
        <f>T("   441820")</f>
        <v xml:space="preserve">   441820</v>
      </c>
      <c r="B6163" t="str">
        <f>T("   Portes et leurs cadres, chambranles et seuils, en bois")</f>
        <v xml:space="preserve">   Portes et leurs cadres, chambranles et seuils, en bois</v>
      </c>
      <c r="C6163">
        <v>7650000</v>
      </c>
      <c r="D6163">
        <v>11808</v>
      </c>
    </row>
    <row r="6164" spans="1:4" x14ac:dyDescent="0.25">
      <c r="A6164" t="str">
        <f>T("   480256")</f>
        <v xml:space="preserve">   480256</v>
      </c>
      <c r="B6164" t="s">
        <v>207</v>
      </c>
      <c r="C6164">
        <v>10980031</v>
      </c>
      <c r="D6164">
        <v>19605</v>
      </c>
    </row>
    <row r="6165" spans="1:4" x14ac:dyDescent="0.25">
      <c r="A6165" t="str">
        <f>T("   481810")</f>
        <v xml:space="preserve">   481810</v>
      </c>
      <c r="B6165" t="str">
        <f>T("   Papier hygiénique, en rouleaux d'une largeur &lt;= 36 cm")</f>
        <v xml:space="preserve">   Papier hygiénique, en rouleaux d'une largeur &lt;= 36 cm</v>
      </c>
      <c r="C6165">
        <v>78644981</v>
      </c>
      <c r="D6165">
        <v>154509</v>
      </c>
    </row>
    <row r="6166" spans="1:4" x14ac:dyDescent="0.25">
      <c r="A6166" t="str">
        <f>T("   481820")</f>
        <v xml:space="preserve">   481820</v>
      </c>
      <c r="B6166"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166">
        <v>25489500</v>
      </c>
      <c r="D6166">
        <v>47580</v>
      </c>
    </row>
    <row r="6167" spans="1:4" x14ac:dyDescent="0.25">
      <c r="A6167" t="str">
        <f>T("   481890")</f>
        <v xml:space="preserve">   481890</v>
      </c>
      <c r="B6167" t="s">
        <v>232</v>
      </c>
      <c r="C6167">
        <v>224053</v>
      </c>
      <c r="D6167">
        <v>412</v>
      </c>
    </row>
    <row r="6168" spans="1:4" x14ac:dyDescent="0.25">
      <c r="A6168" t="str">
        <f>T("   481920")</f>
        <v xml:space="preserve">   481920</v>
      </c>
      <c r="B6168" t="str">
        <f>T("   Boîtes et cartonnages, pliants, en papier ou en carton non ondulé")</f>
        <v xml:space="preserve">   Boîtes et cartonnages, pliants, en papier ou en carton non ondulé</v>
      </c>
      <c r="C6168">
        <v>10495</v>
      </c>
      <c r="D6168">
        <v>10</v>
      </c>
    </row>
    <row r="6169" spans="1:4" x14ac:dyDescent="0.25">
      <c r="A6169" t="str">
        <f>T("   482010")</f>
        <v xml:space="preserve">   482010</v>
      </c>
      <c r="B616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169">
        <v>588806</v>
      </c>
      <c r="D6169">
        <v>350</v>
      </c>
    </row>
    <row r="6170" spans="1:4" x14ac:dyDescent="0.25">
      <c r="A6170" t="str">
        <f>T("   482040")</f>
        <v xml:space="preserve">   482040</v>
      </c>
      <c r="B6170" t="str">
        <f>T("   Liasses et carnets manifold, même comportant des feuilles de papier carbone, en papier ou carton")</f>
        <v xml:space="preserve">   Liasses et carnets manifold, même comportant des feuilles de papier carbone, en papier ou carton</v>
      </c>
      <c r="C6170">
        <v>425701</v>
      </c>
      <c r="D6170">
        <v>26</v>
      </c>
    </row>
    <row r="6171" spans="1:4" x14ac:dyDescent="0.25">
      <c r="A6171" t="str">
        <f>T("   491000")</f>
        <v xml:space="preserve">   491000</v>
      </c>
      <c r="B6171" t="str">
        <f>T("   Calendriers de tous genres, imprimés, y.c. les blocs de calendriers à effeuiller")</f>
        <v xml:space="preserve">   Calendriers de tous genres, imprimés, y.c. les blocs de calendriers à effeuiller</v>
      </c>
      <c r="C6171">
        <v>1328645</v>
      </c>
      <c r="D6171">
        <v>1975</v>
      </c>
    </row>
    <row r="6172" spans="1:4" x14ac:dyDescent="0.25">
      <c r="A6172" t="str">
        <f>T("   491110")</f>
        <v xml:space="preserve">   491110</v>
      </c>
      <c r="B6172" t="str">
        <f>T("   Imprimés publicitaires, catalogues commerciaux et simil.")</f>
        <v xml:space="preserve">   Imprimés publicitaires, catalogues commerciaux et simil.</v>
      </c>
      <c r="C6172">
        <v>108663</v>
      </c>
      <c r="D6172">
        <v>58</v>
      </c>
    </row>
    <row r="6173" spans="1:4" x14ac:dyDescent="0.25">
      <c r="A6173" t="str">
        <f>T("   520852")</f>
        <v xml:space="preserve">   520852</v>
      </c>
      <c r="B6173" t="str">
        <f>T("   Tissus de coton, imprimés, à armure toile, contenant &gt;= 85% en poids de coton, d'un poids &gt; 100 g/m² mais &lt;= 200 g/m²")</f>
        <v xml:space="preserve">   Tissus de coton, imprimés, à armure toile, contenant &gt;= 85% en poids de coton, d'un poids &gt; 100 g/m² mais &lt;= 200 g/m²</v>
      </c>
      <c r="C6173">
        <v>140849809</v>
      </c>
      <c r="D6173">
        <v>166050</v>
      </c>
    </row>
    <row r="6174" spans="1:4" x14ac:dyDescent="0.25">
      <c r="A6174" t="str">
        <f>T("   520859")</f>
        <v xml:space="preserve">   520859</v>
      </c>
      <c r="B6174" t="str">
        <f>T("   TISSUS DE COTON, IMPRIMÉS, CONTENANT &gt;= 85% EN POIDS DE COTON, D'UN POIDS &lt;= 200 G/M² (À L'EXCL. DES TISSUS À ARMURE TOILE)")</f>
        <v xml:space="preserve">   TISSUS DE COTON, IMPRIMÉS, CONTENANT &gt;= 85% EN POIDS DE COTON, D'UN POIDS &lt;= 200 G/M² (À L'EXCL. DES TISSUS À ARMURE TOILE)</v>
      </c>
      <c r="C6174">
        <v>117756933</v>
      </c>
      <c r="D6174">
        <v>148310</v>
      </c>
    </row>
    <row r="6175" spans="1:4" x14ac:dyDescent="0.25">
      <c r="A6175" t="str">
        <f>T("   540794")</f>
        <v xml:space="preserve">   540794</v>
      </c>
      <c r="B6175" t="s">
        <v>245</v>
      </c>
      <c r="C6175">
        <v>51000560</v>
      </c>
      <c r="D6175">
        <v>56690</v>
      </c>
    </row>
    <row r="6176" spans="1:4" x14ac:dyDescent="0.25">
      <c r="A6176" t="str">
        <f>T("   551299")</f>
        <v xml:space="preserve">   551299</v>
      </c>
      <c r="B6176"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6176">
        <v>35024947</v>
      </c>
      <c r="D6176">
        <v>38079</v>
      </c>
    </row>
    <row r="6177" spans="1:4" x14ac:dyDescent="0.25">
      <c r="A6177" t="str">
        <f>T("   600522")</f>
        <v xml:space="preserve">   600522</v>
      </c>
      <c r="B6177" t="s">
        <v>275</v>
      </c>
      <c r="C6177">
        <v>96341</v>
      </c>
      <c r="D6177">
        <v>87.5</v>
      </c>
    </row>
    <row r="6178" spans="1:4" x14ac:dyDescent="0.25">
      <c r="A6178" t="str">
        <f>T("   610590")</f>
        <v xml:space="preserve">   610590</v>
      </c>
      <c r="B6178"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178">
        <v>500000</v>
      </c>
      <c r="D6178">
        <v>240</v>
      </c>
    </row>
    <row r="6179" spans="1:4" x14ac:dyDescent="0.25">
      <c r="A6179" t="str">
        <f>T("   620342")</f>
        <v xml:space="preserve">   620342</v>
      </c>
      <c r="B617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179">
        <v>13347597</v>
      </c>
      <c r="D6179">
        <v>24000</v>
      </c>
    </row>
    <row r="6180" spans="1:4" x14ac:dyDescent="0.25">
      <c r="A6180" t="str">
        <f>T("   621040")</f>
        <v xml:space="preserve">   621040</v>
      </c>
      <c r="B6180" t="s">
        <v>294</v>
      </c>
      <c r="C6180">
        <v>1160350</v>
      </c>
      <c r="D6180">
        <v>10808</v>
      </c>
    </row>
    <row r="6181" spans="1:4" x14ac:dyDescent="0.25">
      <c r="A6181" t="str">
        <f>T("   630590")</f>
        <v xml:space="preserve">   630590</v>
      </c>
      <c r="B6181"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6181">
        <v>964261</v>
      </c>
      <c r="D6181">
        <v>105</v>
      </c>
    </row>
    <row r="6182" spans="1:4" x14ac:dyDescent="0.25">
      <c r="A6182" t="str">
        <f>T("   630639")</f>
        <v xml:space="preserve">   630639</v>
      </c>
      <c r="B6182" t="str">
        <f>T("   Voiles pour bateaux, planches à voiles et chars à voiles, de matières textiles (autres que de fibres synthétiques)")</f>
        <v xml:space="preserve">   Voiles pour bateaux, planches à voiles et chars à voiles, de matières textiles (autres que de fibres synthétiques)</v>
      </c>
      <c r="C6182">
        <v>100000</v>
      </c>
      <c r="D6182">
        <v>200</v>
      </c>
    </row>
    <row r="6183" spans="1:4" x14ac:dyDescent="0.25">
      <c r="A6183" t="str">
        <f>T("   631090")</f>
        <v xml:space="preserve">   631090</v>
      </c>
      <c r="B6183"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6183">
        <v>1051481</v>
      </c>
      <c r="D6183">
        <v>1260</v>
      </c>
    </row>
    <row r="6184" spans="1:4" x14ac:dyDescent="0.25">
      <c r="A6184" t="str">
        <f>T("   640590")</f>
        <v xml:space="preserve">   640590</v>
      </c>
      <c r="B6184" t="s">
        <v>311</v>
      </c>
      <c r="C6184">
        <v>39541</v>
      </c>
      <c r="D6184">
        <v>90</v>
      </c>
    </row>
    <row r="6185" spans="1:4" x14ac:dyDescent="0.25">
      <c r="A6185" t="str">
        <f>T("   650699")</f>
        <v xml:space="preserve">   650699</v>
      </c>
      <c r="B6185" t="str">
        <f>T("   Chapeaux et autres coiffures, même garnis, n.d.a.")</f>
        <v xml:space="preserve">   Chapeaux et autres coiffures, même garnis, n.d.a.</v>
      </c>
      <c r="C6185">
        <v>1436580</v>
      </c>
      <c r="D6185">
        <v>3020</v>
      </c>
    </row>
    <row r="6186" spans="1:4" x14ac:dyDescent="0.25">
      <c r="A6186" t="str">
        <f>T("   681120")</f>
        <v xml:space="preserve">   681120</v>
      </c>
      <c r="B6186" t="str">
        <f>T("   Plaques, panneaux, carreaux, tuiles et articles simil., en amiante-ciment, cellulose-ciment ou simil. (sauf plaques ondulées)")</f>
        <v xml:space="preserve">   Plaques, panneaux, carreaux, tuiles et articles simil., en amiante-ciment, cellulose-ciment ou simil. (sauf plaques ondulées)</v>
      </c>
      <c r="C6186">
        <v>1529699</v>
      </c>
      <c r="D6186">
        <v>24800</v>
      </c>
    </row>
    <row r="6187" spans="1:4" x14ac:dyDescent="0.25">
      <c r="A6187" t="str">
        <f>T("   690790")</f>
        <v xml:space="preserve">   690790</v>
      </c>
      <c r="B6187" t="s">
        <v>335</v>
      </c>
      <c r="C6187">
        <v>3279800</v>
      </c>
      <c r="D6187">
        <v>22000</v>
      </c>
    </row>
    <row r="6188" spans="1:4" x14ac:dyDescent="0.25">
      <c r="A6188" t="str">
        <f>T("   690890")</f>
        <v xml:space="preserve">   690890</v>
      </c>
      <c r="B6188" t="s">
        <v>336</v>
      </c>
      <c r="C6188">
        <v>20338972</v>
      </c>
      <c r="D6188">
        <v>136240</v>
      </c>
    </row>
    <row r="6189" spans="1:4" x14ac:dyDescent="0.25">
      <c r="A6189" t="str">
        <f>T("   691090")</f>
        <v xml:space="preserve">   691090</v>
      </c>
      <c r="B6189" t="s">
        <v>339</v>
      </c>
      <c r="C6189">
        <v>2000000</v>
      </c>
      <c r="D6189">
        <v>10000</v>
      </c>
    </row>
    <row r="6190" spans="1:4" x14ac:dyDescent="0.25">
      <c r="A6190" t="str">
        <f>T("   691110")</f>
        <v xml:space="preserve">   691110</v>
      </c>
      <c r="B6190" t="s">
        <v>340</v>
      </c>
      <c r="C6190">
        <v>4382118</v>
      </c>
      <c r="D6190">
        <v>23000</v>
      </c>
    </row>
    <row r="6191" spans="1:4" x14ac:dyDescent="0.25">
      <c r="A6191" t="str">
        <f>T("   691200")</f>
        <v xml:space="preserve">   691200</v>
      </c>
      <c r="B6191" t="s">
        <v>342</v>
      </c>
      <c r="C6191">
        <v>4108877</v>
      </c>
      <c r="D6191">
        <v>11909.07</v>
      </c>
    </row>
    <row r="6192" spans="1:4" x14ac:dyDescent="0.25">
      <c r="A6192" t="str">
        <f>T("   700510")</f>
        <v xml:space="preserve">   700510</v>
      </c>
      <c r="B6192"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6192">
        <v>12101600</v>
      </c>
      <c r="D6192">
        <v>51000</v>
      </c>
    </row>
    <row r="6193" spans="1:4" x14ac:dyDescent="0.25">
      <c r="A6193" t="str">
        <f>T("   700711")</f>
        <v xml:space="preserve">   700711</v>
      </c>
      <c r="B6193"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6193">
        <v>892534</v>
      </c>
      <c r="D6193">
        <v>66</v>
      </c>
    </row>
    <row r="6194" spans="1:4" x14ac:dyDescent="0.25">
      <c r="A6194" t="str">
        <f>T("   701190")</f>
        <v xml:space="preserve">   701190</v>
      </c>
      <c r="B6194"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6194">
        <v>4241995</v>
      </c>
      <c r="D6194">
        <v>19625</v>
      </c>
    </row>
    <row r="6195" spans="1:4" x14ac:dyDescent="0.25">
      <c r="A6195" t="str">
        <f>T("   701328")</f>
        <v xml:space="preserve">   701328</v>
      </c>
      <c r="B6195" t="str">
        <f>T("   VERRES À BOIRE À PIED (À L'EXCL. DES VERRES EN VITROCÉRAME ET EN CRISTAL AU PLOMB)")</f>
        <v xml:space="preserve">   VERRES À BOIRE À PIED (À L'EXCL. DES VERRES EN VITROCÉRAME ET EN CRISTAL AU PLOMB)</v>
      </c>
      <c r="C6195">
        <v>13810000</v>
      </c>
      <c r="D6195">
        <v>14047</v>
      </c>
    </row>
    <row r="6196" spans="1:4" x14ac:dyDescent="0.25">
      <c r="A6196" t="str">
        <f>T("   701399")</f>
        <v xml:space="preserve">   701399</v>
      </c>
      <c r="B6196" t="s">
        <v>355</v>
      </c>
      <c r="C6196">
        <v>8005087</v>
      </c>
      <c r="D6196">
        <v>21306</v>
      </c>
    </row>
    <row r="6197" spans="1:4" x14ac:dyDescent="0.25">
      <c r="A6197" t="str">
        <f>T("   702000")</f>
        <v xml:space="preserve">   702000</v>
      </c>
      <c r="B6197" t="str">
        <f>T("   Ouvrages en verre n.d.a.")</f>
        <v xml:space="preserve">   Ouvrages en verre n.d.a.</v>
      </c>
      <c r="C6197">
        <v>877741</v>
      </c>
      <c r="D6197">
        <v>2206</v>
      </c>
    </row>
    <row r="6198" spans="1:4" x14ac:dyDescent="0.25">
      <c r="A6198" t="str">
        <f>T("   711790")</f>
        <v xml:space="preserve">   711790</v>
      </c>
      <c r="B6198" t="str">
        <f>T("   Bijouterie de fantaisie (autre qu'en métaux communs, même argentés, dorés ou platinés)")</f>
        <v xml:space="preserve">   Bijouterie de fantaisie (autre qu'en métaux communs, même argentés, dorés ou platinés)</v>
      </c>
      <c r="C6198">
        <v>360000</v>
      </c>
      <c r="D6198">
        <v>180</v>
      </c>
    </row>
    <row r="6199" spans="1:4" x14ac:dyDescent="0.25">
      <c r="A6199" t="str">
        <f>T("   721399")</f>
        <v xml:space="preserve">   721399</v>
      </c>
      <c r="B6199" t="s">
        <v>365</v>
      </c>
      <c r="C6199">
        <v>883592092</v>
      </c>
      <c r="D6199">
        <v>2799517</v>
      </c>
    </row>
    <row r="6200" spans="1:4" x14ac:dyDescent="0.25">
      <c r="A6200" t="str">
        <f>T("   730830")</f>
        <v xml:space="preserve">   730830</v>
      </c>
      <c r="B6200" t="str">
        <f>T("   Portes, fenêtres et leurs cadres et chambranles ainsi que leurs seuils, en fer ou en acier")</f>
        <v xml:space="preserve">   Portes, fenêtres et leurs cadres et chambranles ainsi que leurs seuils, en fer ou en acier</v>
      </c>
      <c r="C6200">
        <v>142805</v>
      </c>
      <c r="D6200">
        <v>300</v>
      </c>
    </row>
    <row r="6201" spans="1:4" x14ac:dyDescent="0.25">
      <c r="A6201" t="str">
        <f>T("   731700")</f>
        <v xml:space="preserve">   731700</v>
      </c>
      <c r="B6201"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201">
        <v>422153</v>
      </c>
      <c r="D6201">
        <v>799</v>
      </c>
    </row>
    <row r="6202" spans="1:4" x14ac:dyDescent="0.25">
      <c r="A6202" t="str">
        <f>T("   731815")</f>
        <v xml:space="preserve">   731815</v>
      </c>
      <c r="B6202" t="s">
        <v>380</v>
      </c>
      <c r="C6202">
        <v>6268507</v>
      </c>
      <c r="D6202">
        <v>1169</v>
      </c>
    </row>
    <row r="6203" spans="1:4" x14ac:dyDescent="0.25">
      <c r="A6203" t="str">
        <f>T("   732190")</f>
        <v xml:space="preserve">   732190</v>
      </c>
      <c r="B6203" t="str">
        <f>T("   Parties des appareils ménagers chauffants non-électriques du n° 7321, n.d.a.")</f>
        <v xml:space="preserve">   Parties des appareils ménagers chauffants non-électriques du n° 7321, n.d.a.</v>
      </c>
      <c r="C6203">
        <v>838715</v>
      </c>
      <c r="D6203">
        <v>55</v>
      </c>
    </row>
    <row r="6204" spans="1:4" x14ac:dyDescent="0.25">
      <c r="A6204" t="str">
        <f>T("   732690")</f>
        <v xml:space="preserve">   732690</v>
      </c>
      <c r="B620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204">
        <v>593859</v>
      </c>
      <c r="D6204">
        <v>1190</v>
      </c>
    </row>
    <row r="6205" spans="1:4" x14ac:dyDescent="0.25">
      <c r="A6205" t="str">
        <f>T("   741110")</f>
        <v xml:space="preserve">   741110</v>
      </c>
      <c r="B6205" t="str">
        <f>T("   Tubes et tuyaux en cuivre affiné")</f>
        <v xml:space="preserve">   Tubes et tuyaux en cuivre affiné</v>
      </c>
      <c r="C6205">
        <v>11529496</v>
      </c>
      <c r="D6205">
        <v>2278</v>
      </c>
    </row>
    <row r="6206" spans="1:4" x14ac:dyDescent="0.25">
      <c r="A6206" t="str">
        <f>T("   760410")</f>
        <v xml:space="preserve">   760410</v>
      </c>
      <c r="B6206" t="str">
        <f>T("   BARRES ET PROFILÉS EN ALUMINIUM NON-ALLIÉ, N.D.A.")</f>
        <v xml:space="preserve">   BARRES ET PROFILÉS EN ALUMINIUM NON-ALLIÉ, N.D.A.</v>
      </c>
      <c r="C6206">
        <v>13270000</v>
      </c>
      <c r="D6206">
        <v>15000</v>
      </c>
    </row>
    <row r="6207" spans="1:4" x14ac:dyDescent="0.25">
      <c r="A6207" t="str">
        <f>T("   760421")</f>
        <v xml:space="preserve">   760421</v>
      </c>
      <c r="B6207" t="str">
        <f>T("   Profilés creux en alliages d'aluminium, n.d.a.")</f>
        <v xml:space="preserve">   Profilés creux en alliages d'aluminium, n.d.a.</v>
      </c>
      <c r="C6207">
        <v>33838587</v>
      </c>
      <c r="D6207">
        <v>45225</v>
      </c>
    </row>
    <row r="6208" spans="1:4" x14ac:dyDescent="0.25">
      <c r="A6208" t="str">
        <f>T("   760429")</f>
        <v xml:space="preserve">   760429</v>
      </c>
      <c r="B6208" t="str">
        <f>T("   Barres et profilés pleins en alliages d'aluminium, n.d.a.")</f>
        <v xml:space="preserve">   Barres et profilés pleins en alliages d'aluminium, n.d.a.</v>
      </c>
      <c r="C6208">
        <v>119525000</v>
      </c>
      <c r="D6208">
        <v>135000</v>
      </c>
    </row>
    <row r="6209" spans="1:4" x14ac:dyDescent="0.25">
      <c r="A6209" t="str">
        <f>T("   761610")</f>
        <v xml:space="preserve">   761610</v>
      </c>
      <c r="B6209" t="s">
        <v>398</v>
      </c>
      <c r="C6209">
        <v>57385</v>
      </c>
      <c r="D6209">
        <v>123</v>
      </c>
    </row>
    <row r="6210" spans="1:4" x14ac:dyDescent="0.25">
      <c r="A6210" t="str">
        <f>T("   830210")</f>
        <v xml:space="preserve">   830210</v>
      </c>
      <c r="B6210" t="str">
        <f>T("   Charnières de tous genres, y.c. les paumelles et pentures, en métaux communs")</f>
        <v xml:space="preserve">   Charnières de tous genres, y.c. les paumelles et pentures, en métaux communs</v>
      </c>
      <c r="C6210">
        <v>64876</v>
      </c>
      <c r="D6210">
        <v>80</v>
      </c>
    </row>
    <row r="6211" spans="1:4" x14ac:dyDescent="0.25">
      <c r="A6211" t="str">
        <f>T("   841391")</f>
        <v xml:space="preserve">   841391</v>
      </c>
      <c r="B6211" t="str">
        <f>T("   Parties de pompes pour liquides, n.d.a.")</f>
        <v xml:space="preserve">   Parties de pompes pour liquides, n.d.a.</v>
      </c>
      <c r="C6211">
        <v>179500</v>
      </c>
      <c r="D6211">
        <v>220</v>
      </c>
    </row>
    <row r="6212" spans="1:4" x14ac:dyDescent="0.25">
      <c r="A6212" t="str">
        <f>T("   841451")</f>
        <v xml:space="preserve">   841451</v>
      </c>
      <c r="B6212"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212">
        <v>30529983</v>
      </c>
      <c r="D6212">
        <v>81380</v>
      </c>
    </row>
    <row r="6213" spans="1:4" x14ac:dyDescent="0.25">
      <c r="A6213" t="str">
        <f>T("   841490")</f>
        <v xml:space="preserve">   841490</v>
      </c>
      <c r="B6213"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6213">
        <v>85791</v>
      </c>
      <c r="D6213">
        <v>29</v>
      </c>
    </row>
    <row r="6214" spans="1:4" x14ac:dyDescent="0.25">
      <c r="A6214" t="str">
        <f>T("   841690")</f>
        <v xml:space="preserve">   841690</v>
      </c>
      <c r="B6214"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6214">
        <v>294318</v>
      </c>
      <c r="D6214">
        <v>80</v>
      </c>
    </row>
    <row r="6215" spans="1:4" x14ac:dyDescent="0.25">
      <c r="A6215" t="str">
        <f>T("   841710")</f>
        <v xml:space="preserve">   841710</v>
      </c>
      <c r="B6215" t="str">
        <f>T("   Fours industriels ou de laboratoire, non-électriques, pour le grillage, la fusion ou autres traitements thermiques des minerais, de la pyrite ou des métaux (à l'excl. des étuves)")</f>
        <v xml:space="preserve">   Fours industriels ou de laboratoire, non-électriques, pour le grillage, la fusion ou autres traitements thermiques des minerais, de la pyrite ou des métaux (à l'excl. des étuves)</v>
      </c>
      <c r="C6215">
        <v>40742</v>
      </c>
      <c r="D6215">
        <v>59</v>
      </c>
    </row>
    <row r="6216" spans="1:4" x14ac:dyDescent="0.25">
      <c r="A6216" t="str">
        <f>T("   841829")</f>
        <v xml:space="preserve">   841829</v>
      </c>
      <c r="B6216" t="str">
        <f>T("   Réfrigérateurs ménagers à absorption, non-électriques")</f>
        <v xml:space="preserve">   Réfrigérateurs ménagers à absorption, non-électriques</v>
      </c>
      <c r="C6216">
        <v>4751502</v>
      </c>
      <c r="D6216">
        <v>3125</v>
      </c>
    </row>
    <row r="6217" spans="1:4" x14ac:dyDescent="0.25">
      <c r="A6217" t="str">
        <f>T("   843049")</f>
        <v xml:space="preserve">   843049</v>
      </c>
      <c r="B6217"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217">
        <v>6227028</v>
      </c>
      <c r="D6217">
        <v>153</v>
      </c>
    </row>
    <row r="6218" spans="1:4" x14ac:dyDescent="0.25">
      <c r="A6218" t="str">
        <f>T("   843120")</f>
        <v xml:space="preserve">   843120</v>
      </c>
      <c r="B6218" t="str">
        <f>T("   Parties de chariots-gerbeurs et autres chariots de manutention munis d'un dispositif de levage, n.d.a.")</f>
        <v xml:space="preserve">   Parties de chariots-gerbeurs et autres chariots de manutention munis d'un dispositif de levage, n.d.a.</v>
      </c>
      <c r="C6218">
        <v>645465</v>
      </c>
      <c r="D6218">
        <v>1</v>
      </c>
    </row>
    <row r="6219" spans="1:4" x14ac:dyDescent="0.25">
      <c r="A6219" t="str">
        <f>T("   843149")</f>
        <v xml:space="preserve">   843149</v>
      </c>
      <c r="B6219" t="str">
        <f>T("   Parties de machines et appareils du n° 8426, 8429 ou 8430, n.d.a.")</f>
        <v xml:space="preserve">   Parties de machines et appareils du n° 8426, 8429 ou 8430, n.d.a.</v>
      </c>
      <c r="C6219">
        <v>31028859</v>
      </c>
      <c r="D6219">
        <v>1448.6</v>
      </c>
    </row>
    <row r="6220" spans="1:4" x14ac:dyDescent="0.25">
      <c r="A6220" t="str">
        <f>T("   844839")</f>
        <v xml:space="preserve">   844839</v>
      </c>
      <c r="B6220" t="str">
        <f>T("   Parties et accessoires des machines du n° 8445, n.d.a.")</f>
        <v xml:space="preserve">   Parties et accessoires des machines du n° 8445, n.d.a.</v>
      </c>
      <c r="C6220">
        <v>15000</v>
      </c>
      <c r="D6220">
        <v>51</v>
      </c>
    </row>
    <row r="6221" spans="1:4" x14ac:dyDescent="0.25">
      <c r="A6221" t="str">
        <f>T("   846694")</f>
        <v xml:space="preserve">   846694</v>
      </c>
      <c r="B6221" t="str">
        <f>T("   Parties et accessoires pour machines-outils pour le travail du métal avec enlèvement de matière, n.d.a.")</f>
        <v xml:space="preserve">   Parties et accessoires pour machines-outils pour le travail du métal avec enlèvement de matière, n.d.a.</v>
      </c>
      <c r="C6221">
        <v>376360</v>
      </c>
      <c r="D6221">
        <v>100</v>
      </c>
    </row>
    <row r="6222" spans="1:4" x14ac:dyDescent="0.25">
      <c r="A6222" t="str">
        <f>T("   846880")</f>
        <v xml:space="preserve">   846880</v>
      </c>
      <c r="B6222"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6222">
        <v>4300000</v>
      </c>
      <c r="D6222">
        <v>12000</v>
      </c>
    </row>
    <row r="6223" spans="1:4" x14ac:dyDescent="0.25">
      <c r="A6223" t="str">
        <f>T("   847130")</f>
        <v xml:space="preserve">   847130</v>
      </c>
      <c r="B622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6223">
        <v>79530074</v>
      </c>
      <c r="D6223">
        <v>4798</v>
      </c>
    </row>
    <row r="6224" spans="1:4" x14ac:dyDescent="0.25">
      <c r="A6224" t="str">
        <f>T("   847149")</f>
        <v xml:space="preserve">   847149</v>
      </c>
      <c r="B6224" t="s">
        <v>459</v>
      </c>
      <c r="C6224">
        <v>268804</v>
      </c>
      <c r="D6224">
        <v>406</v>
      </c>
    </row>
    <row r="6225" spans="1:4" x14ac:dyDescent="0.25">
      <c r="A6225" t="str">
        <f>T("   847180")</f>
        <v xml:space="preserve">   847180</v>
      </c>
      <c r="B622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225">
        <v>2118697</v>
      </c>
      <c r="D6225">
        <v>126</v>
      </c>
    </row>
    <row r="6226" spans="1:4" x14ac:dyDescent="0.25">
      <c r="A6226" t="str">
        <f>T("   847190")</f>
        <v xml:space="preserve">   847190</v>
      </c>
      <c r="B622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226">
        <v>11711485</v>
      </c>
      <c r="D6226">
        <v>145.1</v>
      </c>
    </row>
    <row r="6227" spans="1:4" x14ac:dyDescent="0.25">
      <c r="A6227" t="str">
        <f>T("   847330")</f>
        <v xml:space="preserve">   847330</v>
      </c>
      <c r="B6227" t="str">
        <f>T("   Parties et accessoires pour machines automatiques de traitement de l'information ou pour autres machines du n° 8471, n.d.a.")</f>
        <v xml:space="preserve">   Parties et accessoires pour machines automatiques de traitement de l'information ou pour autres machines du n° 8471, n.d.a.</v>
      </c>
      <c r="C6227">
        <v>8878279</v>
      </c>
      <c r="D6227">
        <v>1788</v>
      </c>
    </row>
    <row r="6228" spans="1:4" x14ac:dyDescent="0.25">
      <c r="A6228" t="str">
        <f>T("   847350")</f>
        <v xml:space="preserve">   847350</v>
      </c>
      <c r="B6228"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6228">
        <v>18575715</v>
      </c>
      <c r="D6228">
        <v>2044</v>
      </c>
    </row>
    <row r="6229" spans="1:4" x14ac:dyDescent="0.25">
      <c r="A6229" t="str">
        <f>T("   848280")</f>
        <v xml:space="preserve">   848280</v>
      </c>
      <c r="B6229" t="s">
        <v>467</v>
      </c>
      <c r="C6229">
        <v>2394504</v>
      </c>
      <c r="D6229">
        <v>390</v>
      </c>
    </row>
    <row r="6230" spans="1:4" x14ac:dyDescent="0.25">
      <c r="A6230" t="str">
        <f>T("   850440")</f>
        <v xml:space="preserve">   850440</v>
      </c>
      <c r="B6230" t="str">
        <f>T("   CONVERTISSEURS STATIQUES")</f>
        <v xml:space="preserve">   CONVERTISSEURS STATIQUES</v>
      </c>
      <c r="C6230">
        <v>29745991</v>
      </c>
      <c r="D6230">
        <v>17209</v>
      </c>
    </row>
    <row r="6231" spans="1:4" x14ac:dyDescent="0.25">
      <c r="A6231" t="str">
        <f>T("   850610")</f>
        <v xml:space="preserve">   850610</v>
      </c>
      <c r="B6231" t="str">
        <f>T("   Piles et batteries de piles électriques, au bioxyde de manganèse (sauf hors d'usage)")</f>
        <v xml:space="preserve">   Piles et batteries de piles électriques, au bioxyde de manganèse (sauf hors d'usage)</v>
      </c>
      <c r="C6231">
        <v>25204966</v>
      </c>
      <c r="D6231">
        <v>108000</v>
      </c>
    </row>
    <row r="6232" spans="1:4" x14ac:dyDescent="0.25">
      <c r="A6232" t="str">
        <f>T("   850680")</f>
        <v xml:space="preserve">   850680</v>
      </c>
      <c r="B6232"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232">
        <v>792400</v>
      </c>
      <c r="D6232">
        <v>247</v>
      </c>
    </row>
    <row r="6233" spans="1:4" x14ac:dyDescent="0.25">
      <c r="A6233" t="str">
        <f>T("   851310")</f>
        <v xml:space="preserve">   851310</v>
      </c>
      <c r="B6233" t="str">
        <f>T("   Lampes électriques portatives, destinées à fonctionner au moyen de leur propre source d'énergie")</f>
        <v xml:space="preserve">   Lampes électriques portatives, destinées à fonctionner au moyen de leur propre source d'énergie</v>
      </c>
      <c r="C6233">
        <v>80000</v>
      </c>
      <c r="D6233">
        <v>17</v>
      </c>
    </row>
    <row r="6234" spans="1:4" x14ac:dyDescent="0.25">
      <c r="A6234" t="str">
        <f>T("   851711")</f>
        <v xml:space="preserve">   851711</v>
      </c>
      <c r="B6234" t="str">
        <f>T("   Postes téléphoniques d'usagers pour la téléphonie par fil à combinés sans fil")</f>
        <v xml:space="preserve">   Postes téléphoniques d'usagers pour la téléphonie par fil à combinés sans fil</v>
      </c>
      <c r="C6234">
        <v>3428054</v>
      </c>
      <c r="D6234">
        <v>90</v>
      </c>
    </row>
    <row r="6235" spans="1:4" x14ac:dyDescent="0.25">
      <c r="A6235" t="str">
        <f>T("   851712")</f>
        <v xml:space="preserve">   851712</v>
      </c>
      <c r="B6235" t="str">
        <f>T("   TÉLÉPHONES POUR RÉSEAUX CELLULAIRES [TÉLÉPHONES MOBILES] ET POUR AUTRES RÉSEAUX SANS FIL")</f>
        <v xml:space="preserve">   TÉLÉPHONES POUR RÉSEAUX CELLULAIRES [TÉLÉPHONES MOBILES] ET POUR AUTRES RÉSEAUX SANS FIL</v>
      </c>
      <c r="C6235">
        <v>6090280</v>
      </c>
      <c r="D6235">
        <v>1914</v>
      </c>
    </row>
    <row r="6236" spans="1:4" x14ac:dyDescent="0.25">
      <c r="A6236" t="str">
        <f>T("   851719")</f>
        <v xml:space="preserve">   851719</v>
      </c>
      <c r="B6236"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6236">
        <v>36658660</v>
      </c>
      <c r="D6236">
        <v>509</v>
      </c>
    </row>
    <row r="6237" spans="1:4" x14ac:dyDescent="0.25">
      <c r="A6237" t="str">
        <f>T("   851762")</f>
        <v xml:space="preserve">   851762</v>
      </c>
      <c r="B6237" t="s">
        <v>480</v>
      </c>
      <c r="C6237">
        <v>56885156</v>
      </c>
      <c r="D6237">
        <v>765</v>
      </c>
    </row>
    <row r="6238" spans="1:4" x14ac:dyDescent="0.25">
      <c r="A6238" t="str">
        <f>T("   851769")</f>
        <v xml:space="preserve">   851769</v>
      </c>
      <c r="B6238" t="s">
        <v>481</v>
      </c>
      <c r="C6238">
        <v>7165621</v>
      </c>
      <c r="D6238">
        <v>259</v>
      </c>
    </row>
    <row r="6239" spans="1:4" x14ac:dyDescent="0.25">
      <c r="A6239" t="str">
        <f>T("   851770")</f>
        <v xml:space="preserve">   851770</v>
      </c>
      <c r="B6239"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6239">
        <v>32189757</v>
      </c>
      <c r="D6239">
        <v>2447</v>
      </c>
    </row>
    <row r="6240" spans="1:4" x14ac:dyDescent="0.25">
      <c r="A6240" t="str">
        <f>T("   851780")</f>
        <v xml:space="preserve">   851780</v>
      </c>
      <c r="B6240" t="s">
        <v>482</v>
      </c>
      <c r="C6240">
        <v>750418</v>
      </c>
      <c r="D6240">
        <v>236</v>
      </c>
    </row>
    <row r="6241" spans="1:4" x14ac:dyDescent="0.25">
      <c r="A6241" t="str">
        <f>T("   851790")</f>
        <v xml:space="preserve">   851790</v>
      </c>
      <c r="B6241" t="s">
        <v>483</v>
      </c>
      <c r="C6241">
        <v>2131214</v>
      </c>
      <c r="D6241">
        <v>670</v>
      </c>
    </row>
    <row r="6242" spans="1:4" x14ac:dyDescent="0.25">
      <c r="A6242" t="str">
        <f>T("   851829")</f>
        <v xml:space="preserve">   851829</v>
      </c>
      <c r="B6242" t="str">
        <f>T("   Haut-parleurs sans enceinte")</f>
        <v xml:space="preserve">   Haut-parleurs sans enceinte</v>
      </c>
      <c r="C6242">
        <v>1522483</v>
      </c>
      <c r="D6242">
        <v>936</v>
      </c>
    </row>
    <row r="6243" spans="1:4" x14ac:dyDescent="0.25">
      <c r="A6243" t="str">
        <f>T("   852321")</f>
        <v xml:space="preserve">   852321</v>
      </c>
      <c r="B6243" t="str">
        <f>T("   CARTES MUNIES D'UNE PISTE MAGNÉTIQUE POUR L'ENREGISTREMENT DU SON OU POUR ENREGISTREMENTS ANALOGUES")</f>
        <v xml:space="preserve">   CARTES MUNIES D'UNE PISTE MAGNÉTIQUE POUR L'ENREGISTREMENT DU SON OU POUR ENREGISTREMENTS ANALOGUES</v>
      </c>
      <c r="C6243">
        <v>10455816</v>
      </c>
      <c r="D6243">
        <v>286</v>
      </c>
    </row>
    <row r="6244" spans="1:4" x14ac:dyDescent="0.25">
      <c r="A6244" t="str">
        <f>T("   852849")</f>
        <v xml:space="preserve">   852849</v>
      </c>
      <c r="B6244"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6244">
        <v>430989</v>
      </c>
      <c r="D6244">
        <v>36</v>
      </c>
    </row>
    <row r="6245" spans="1:4" x14ac:dyDescent="0.25">
      <c r="A6245" t="str">
        <f>T("   852990")</f>
        <v xml:space="preserve">   852990</v>
      </c>
      <c r="B6245" t="s">
        <v>496</v>
      </c>
      <c r="C6245">
        <v>549039</v>
      </c>
      <c r="D6245">
        <v>164</v>
      </c>
    </row>
    <row r="6246" spans="1:4" x14ac:dyDescent="0.25">
      <c r="A6246" t="str">
        <f>T("   853620")</f>
        <v xml:space="preserve">   853620</v>
      </c>
      <c r="B6246" t="str">
        <f>T("   Disjoncteurs, pour une tension &lt;= 1.000 V")</f>
        <v xml:space="preserve">   Disjoncteurs, pour une tension &lt;= 1.000 V</v>
      </c>
      <c r="C6246">
        <v>19880</v>
      </c>
      <c r="D6246">
        <v>7.7</v>
      </c>
    </row>
    <row r="6247" spans="1:4" x14ac:dyDescent="0.25">
      <c r="A6247" t="str">
        <f>T("   853649")</f>
        <v xml:space="preserve">   853649</v>
      </c>
      <c r="B6247" t="str">
        <f>T("   Relais, pour une tension &gt; 60 V mais &lt;= 1.000 V")</f>
        <v xml:space="preserve">   Relais, pour une tension &gt; 60 V mais &lt;= 1.000 V</v>
      </c>
      <c r="C6247">
        <v>8735000</v>
      </c>
      <c r="D6247">
        <v>54000</v>
      </c>
    </row>
    <row r="6248" spans="1:4" x14ac:dyDescent="0.25">
      <c r="A6248" t="str">
        <f>T("   853929")</f>
        <v xml:space="preserve">   853929</v>
      </c>
      <c r="B6248"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6248">
        <v>965427</v>
      </c>
      <c r="D6248">
        <v>1593</v>
      </c>
    </row>
    <row r="6249" spans="1:4" x14ac:dyDescent="0.25">
      <c r="A6249" t="str">
        <f>T("   853939")</f>
        <v xml:space="preserve">   853939</v>
      </c>
      <c r="B624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6249">
        <v>20205266</v>
      </c>
      <c r="D6249">
        <v>2284</v>
      </c>
    </row>
    <row r="6250" spans="1:4" x14ac:dyDescent="0.25">
      <c r="A6250" t="str">
        <f>T("   854232")</f>
        <v xml:space="preserve">   854232</v>
      </c>
      <c r="B6250" t="str">
        <f>T("   CIRCUITS INTÉGRÉS ÉLECTRONIQUES UTILISÉS COMME MÉMOIRES")</f>
        <v xml:space="preserve">   CIRCUITS INTÉGRÉS ÉLECTRONIQUES UTILISÉS COMME MÉMOIRES</v>
      </c>
      <c r="C6250">
        <v>103001065</v>
      </c>
      <c r="D6250">
        <v>634</v>
      </c>
    </row>
    <row r="6251" spans="1:4" x14ac:dyDescent="0.25">
      <c r="A6251" t="str">
        <f>T("   854390")</f>
        <v xml:space="preserve">   854390</v>
      </c>
      <c r="B6251" t="str">
        <f>T("   PARTIES DE MACHINES ET APPAREILS ÉLECTRIQUES AYANT UNE FONCTION PROPRE, N.D.A. DANS LE CHAPITRE 85")</f>
        <v xml:space="preserve">   PARTIES DE MACHINES ET APPAREILS ÉLECTRIQUES AYANT UNE FONCTION PROPRE, N.D.A. DANS LE CHAPITRE 85</v>
      </c>
      <c r="C6251">
        <v>400000</v>
      </c>
      <c r="D6251">
        <v>57</v>
      </c>
    </row>
    <row r="6252" spans="1:4" x14ac:dyDescent="0.25">
      <c r="A6252" t="str">
        <f>T("   854449")</f>
        <v xml:space="preserve">   854449</v>
      </c>
      <c r="B6252" t="str">
        <f>T("   CONDUCTEURS ÉLECTRIQUES, POUR TENSION &lt;= 1.000 V, ISOLÉS, SANS PIÈCES DE CONNEXION, N.D.A.")</f>
        <v xml:space="preserve">   CONDUCTEURS ÉLECTRIQUES, POUR TENSION &lt;= 1.000 V, ISOLÉS, SANS PIÈCES DE CONNEXION, N.D.A.</v>
      </c>
      <c r="C6252">
        <v>3077436</v>
      </c>
      <c r="D6252">
        <v>193</v>
      </c>
    </row>
    <row r="6253" spans="1:4" x14ac:dyDescent="0.25">
      <c r="A6253" t="str">
        <f>T("   854470")</f>
        <v xml:space="preserve">   854470</v>
      </c>
      <c r="B6253"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6253">
        <v>5036555</v>
      </c>
      <c r="D6253">
        <v>3000</v>
      </c>
    </row>
    <row r="6254" spans="1:4" x14ac:dyDescent="0.25">
      <c r="A6254" t="str">
        <f>T("   870810")</f>
        <v xml:space="preserve">   870810</v>
      </c>
      <c r="B6254"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6254">
        <v>602343</v>
      </c>
      <c r="D6254">
        <v>600</v>
      </c>
    </row>
    <row r="6255" spans="1:4" x14ac:dyDescent="0.25">
      <c r="A6255" t="str">
        <f>T("   870899")</f>
        <v xml:space="preserve">   870899</v>
      </c>
      <c r="B625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255">
        <v>1960355</v>
      </c>
      <c r="D6255">
        <v>860</v>
      </c>
    </row>
    <row r="6256" spans="1:4" x14ac:dyDescent="0.25">
      <c r="A6256" t="str">
        <f>T("   871110")</f>
        <v xml:space="preserve">   871110</v>
      </c>
      <c r="B6256" t="str">
        <f>T("   Cyclomoteurs, à moteur à piston alternatif, cylindrée &lt;= 50 cm³, y.c. cycles à moteur auxiliaire")</f>
        <v xml:space="preserve">   Cyclomoteurs, à moteur à piston alternatif, cylindrée &lt;= 50 cm³, y.c. cycles à moteur auxiliaire</v>
      </c>
      <c r="C6256">
        <v>300000</v>
      </c>
      <c r="D6256">
        <v>200</v>
      </c>
    </row>
    <row r="6257" spans="1:4" x14ac:dyDescent="0.25">
      <c r="A6257" t="str">
        <f>T("   871200")</f>
        <v xml:space="preserve">   871200</v>
      </c>
      <c r="B6257" t="str">
        <f>T("   BICYCLETTES ET AUTRES CYCLES, -Y.C. LES TRIPORTEURS-, SANS MOTEUR")</f>
        <v xml:space="preserve">   BICYCLETTES ET AUTRES CYCLES, -Y.C. LES TRIPORTEURS-, SANS MOTEUR</v>
      </c>
      <c r="C6257">
        <v>79956</v>
      </c>
      <c r="D6257">
        <v>100</v>
      </c>
    </row>
    <row r="6258" spans="1:4" x14ac:dyDescent="0.25">
      <c r="A6258" t="str">
        <f>T("   900719")</f>
        <v xml:space="preserve">   900719</v>
      </c>
      <c r="B6258" t="str">
        <f>T("   Caméras cinématographiques, pour films d'une largeur &gt;= 16 mm (à l'excl. des films double-8 mm)")</f>
        <v xml:space="preserve">   Caméras cinématographiques, pour films d'une largeur &gt;= 16 mm (à l'excl. des films double-8 mm)</v>
      </c>
      <c r="C6258">
        <v>3431592</v>
      </c>
      <c r="D6258">
        <v>3500</v>
      </c>
    </row>
    <row r="6259" spans="1:4" x14ac:dyDescent="0.25">
      <c r="A6259" t="str">
        <f>T("   901812")</f>
        <v xml:space="preserve">   901812</v>
      </c>
      <c r="B6259" t="str">
        <f>T("   Appareils de diagnostic par balayage ultrasonique [scanners]")</f>
        <v xml:space="preserve">   Appareils de diagnostic par balayage ultrasonique [scanners]</v>
      </c>
      <c r="C6259">
        <v>7385203</v>
      </c>
      <c r="D6259">
        <v>565</v>
      </c>
    </row>
    <row r="6260" spans="1:4" x14ac:dyDescent="0.25">
      <c r="A6260" t="str">
        <f>T("   901820")</f>
        <v xml:space="preserve">   901820</v>
      </c>
      <c r="B6260" t="str">
        <f>T("   Appareils à rayons ultraviolets ou infrarouges, pour la médecine")</f>
        <v xml:space="preserve">   Appareils à rayons ultraviolets ou infrarouges, pour la médecine</v>
      </c>
      <c r="C6260">
        <v>184222</v>
      </c>
      <c r="D6260">
        <v>15</v>
      </c>
    </row>
    <row r="6261" spans="1:4" x14ac:dyDescent="0.25">
      <c r="A6261" t="str">
        <f>T("   901890")</f>
        <v xml:space="preserve">   901890</v>
      </c>
      <c r="B6261" t="str">
        <f>T("   Instruments et appareils pour la médecine, la chirurgie ou l'art vétérinaire, n.d.a.")</f>
        <v xml:space="preserve">   Instruments et appareils pour la médecine, la chirurgie ou l'art vétérinaire, n.d.a.</v>
      </c>
      <c r="C6261">
        <v>10017460</v>
      </c>
      <c r="D6261">
        <v>964</v>
      </c>
    </row>
    <row r="6262" spans="1:4" x14ac:dyDescent="0.25">
      <c r="A6262" t="str">
        <f>T("   901910")</f>
        <v xml:space="preserve">   901910</v>
      </c>
      <c r="B6262" t="str">
        <f>T("   Appareils de mécanothérapie, appareils de massage et appareils de psychotechnie")</f>
        <v xml:space="preserve">   Appareils de mécanothérapie, appareils de massage et appareils de psychotechnie</v>
      </c>
      <c r="C6262">
        <v>146935</v>
      </c>
      <c r="D6262">
        <v>90</v>
      </c>
    </row>
    <row r="6263" spans="1:4" x14ac:dyDescent="0.25">
      <c r="A6263" t="str">
        <f>T("   901920")</f>
        <v xml:space="preserve">   901920</v>
      </c>
      <c r="B6263"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6263">
        <v>826507</v>
      </c>
      <c r="D6263">
        <v>8</v>
      </c>
    </row>
    <row r="6264" spans="1:4" x14ac:dyDescent="0.25">
      <c r="A6264" t="str">
        <f>T("   902219")</f>
        <v xml:space="preserve">   902219</v>
      </c>
      <c r="B6264" t="str">
        <f>T("   Appareils à rayons X (à usage autre que médical, chirurgical, dentaire ou vétérinaire)")</f>
        <v xml:space="preserve">   Appareils à rayons X (à usage autre que médical, chirurgical, dentaire ou vétérinaire)</v>
      </c>
      <c r="C6264">
        <v>169448</v>
      </c>
      <c r="D6264">
        <v>19</v>
      </c>
    </row>
    <row r="6265" spans="1:4" x14ac:dyDescent="0.25">
      <c r="A6265" t="str">
        <f>T("   902710")</f>
        <v xml:space="preserve">   902710</v>
      </c>
      <c r="B6265" t="str">
        <f>T("   Analyseurs de gaz ou de fumées")</f>
        <v xml:space="preserve">   Analyseurs de gaz ou de fumées</v>
      </c>
      <c r="C6265">
        <v>2652557</v>
      </c>
      <c r="D6265">
        <v>456</v>
      </c>
    </row>
    <row r="6266" spans="1:4" x14ac:dyDescent="0.25">
      <c r="A6266" t="str">
        <f>T("   902730")</f>
        <v xml:space="preserve">   902730</v>
      </c>
      <c r="B6266" t="str">
        <f>T("   Spectromètres, spectrophotomètres et spectrographes utilisant les rayonnements optiques: UV, visibles, IR")</f>
        <v xml:space="preserve">   Spectromètres, spectrophotomètres et spectrographes utilisant les rayonnements optiques: UV, visibles, IR</v>
      </c>
      <c r="C6266">
        <v>2091439</v>
      </c>
      <c r="D6266">
        <v>218</v>
      </c>
    </row>
    <row r="6267" spans="1:4" x14ac:dyDescent="0.25">
      <c r="A6267" t="str">
        <f>T("   902780")</f>
        <v xml:space="preserve">   902780</v>
      </c>
      <c r="B6267"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6267">
        <v>4545261</v>
      </c>
      <c r="D6267">
        <v>468</v>
      </c>
    </row>
    <row r="6268" spans="1:4" x14ac:dyDescent="0.25">
      <c r="A6268" t="str">
        <f>T("   910199")</f>
        <v xml:space="preserve">   910199</v>
      </c>
      <c r="B6268"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6268">
        <v>737384</v>
      </c>
      <c r="D6268">
        <v>31</v>
      </c>
    </row>
    <row r="6269" spans="1:4" x14ac:dyDescent="0.25">
      <c r="A6269" t="str">
        <f>T("   940159")</f>
        <v xml:space="preserve">   940159</v>
      </c>
      <c r="B6269" t="str">
        <f>T("   SIÈGES EN OSIER OU EN MATIÈRES SIMIL. (SAUF EN BAMBOU OU EN ROTIN)")</f>
        <v xml:space="preserve">   SIÈGES EN OSIER OU EN MATIÈRES SIMIL. (SAUF EN BAMBOU OU EN ROTIN)</v>
      </c>
      <c r="C6269">
        <v>5400000</v>
      </c>
      <c r="D6269">
        <v>13525</v>
      </c>
    </row>
    <row r="6270" spans="1:4" x14ac:dyDescent="0.25">
      <c r="A6270" t="str">
        <f>T("   940169")</f>
        <v xml:space="preserve">   940169</v>
      </c>
      <c r="B6270" t="str">
        <f>T("   Sièges, avec bâti en bois, non rembourrés")</f>
        <v xml:space="preserve">   Sièges, avec bâti en bois, non rembourrés</v>
      </c>
      <c r="C6270">
        <v>10315661</v>
      </c>
      <c r="D6270">
        <v>13652</v>
      </c>
    </row>
    <row r="6271" spans="1:4" x14ac:dyDescent="0.25">
      <c r="A6271" t="str">
        <f>T("   940179")</f>
        <v xml:space="preserve">   940179</v>
      </c>
      <c r="B6271"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6271">
        <v>15114000</v>
      </c>
      <c r="D6271">
        <v>14839</v>
      </c>
    </row>
    <row r="6272" spans="1:4" x14ac:dyDescent="0.25">
      <c r="A6272" t="str">
        <f>T("   940180")</f>
        <v xml:space="preserve">   940180</v>
      </c>
      <c r="B6272" t="str">
        <f>T("   Sièges, n.d.a.")</f>
        <v xml:space="preserve">   Sièges, n.d.a.</v>
      </c>
      <c r="C6272">
        <v>50750963</v>
      </c>
      <c r="D6272">
        <v>48122</v>
      </c>
    </row>
    <row r="6273" spans="1:4" x14ac:dyDescent="0.25">
      <c r="A6273" t="str">
        <f>T("   940290")</f>
        <v xml:space="preserve">   940290</v>
      </c>
      <c r="B6273"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6273">
        <v>151864</v>
      </c>
      <c r="D6273">
        <v>275</v>
      </c>
    </row>
    <row r="6274" spans="1:4" x14ac:dyDescent="0.25">
      <c r="A6274" t="str">
        <f>T("   940310")</f>
        <v xml:space="preserve">   940310</v>
      </c>
      <c r="B6274" t="str">
        <f>T("   Meubles de bureau en métal (sauf sièges)")</f>
        <v xml:space="preserve">   Meubles de bureau en métal (sauf sièges)</v>
      </c>
      <c r="C6274">
        <v>828997</v>
      </c>
      <c r="D6274">
        <v>3082</v>
      </c>
    </row>
    <row r="6275" spans="1:4" x14ac:dyDescent="0.25">
      <c r="A6275" t="str">
        <f>T("   940320")</f>
        <v xml:space="preserve">   940320</v>
      </c>
      <c r="B627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275">
        <v>9452066</v>
      </c>
      <c r="D6275">
        <v>14248</v>
      </c>
    </row>
    <row r="6276" spans="1:4" x14ac:dyDescent="0.25">
      <c r="A6276" t="str">
        <f>T("   940350")</f>
        <v xml:space="preserve">   940350</v>
      </c>
      <c r="B6276" t="str">
        <f>T("   Meubles pour chambres à coucher, en bois (sauf sièges)")</f>
        <v xml:space="preserve">   Meubles pour chambres à coucher, en bois (sauf sièges)</v>
      </c>
      <c r="C6276">
        <v>8318948</v>
      </c>
      <c r="D6276">
        <v>17158</v>
      </c>
    </row>
    <row r="6277" spans="1:4" x14ac:dyDescent="0.25">
      <c r="A6277" t="str">
        <f>T("   940360")</f>
        <v xml:space="preserve">   940360</v>
      </c>
      <c r="B6277" t="str">
        <f>T("   Meubles en bois (autres que pour bureaux, cuisines ou chambres à coucher et autres que sièges)")</f>
        <v xml:space="preserve">   Meubles en bois (autres que pour bureaux, cuisines ou chambres à coucher et autres que sièges)</v>
      </c>
      <c r="C6277">
        <v>31720618</v>
      </c>
      <c r="D6277">
        <v>58640</v>
      </c>
    </row>
    <row r="6278" spans="1:4" x14ac:dyDescent="0.25">
      <c r="A6278" t="str">
        <f>T("   940370")</f>
        <v xml:space="preserve">   940370</v>
      </c>
      <c r="B6278"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6278">
        <v>6051000</v>
      </c>
      <c r="D6278">
        <v>12380</v>
      </c>
    </row>
    <row r="6279" spans="1:4" x14ac:dyDescent="0.25">
      <c r="A6279" t="str">
        <f>T("   940389")</f>
        <v xml:space="preserve">   940389</v>
      </c>
      <c r="B627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6279">
        <v>28171294</v>
      </c>
      <c r="D6279">
        <v>52429</v>
      </c>
    </row>
    <row r="6280" spans="1:4" x14ac:dyDescent="0.25">
      <c r="A6280" t="str">
        <f>T("   940421")</f>
        <v xml:space="preserve">   940421</v>
      </c>
      <c r="B6280" t="str">
        <f>T("   Matelas en caoutchouc alvéolaire ou en matières plastiques alvéolaires")</f>
        <v xml:space="preserve">   Matelas en caoutchouc alvéolaire ou en matières plastiques alvéolaires</v>
      </c>
      <c r="C6280">
        <v>5734766</v>
      </c>
      <c r="D6280">
        <v>7109</v>
      </c>
    </row>
    <row r="6281" spans="1:4" x14ac:dyDescent="0.25">
      <c r="A6281" t="str">
        <f>T("   940490")</f>
        <v xml:space="preserve">   940490</v>
      </c>
      <c r="B6281" t="s">
        <v>537</v>
      </c>
      <c r="C6281">
        <v>83831</v>
      </c>
      <c r="D6281">
        <v>1150</v>
      </c>
    </row>
    <row r="6282" spans="1:4" x14ac:dyDescent="0.25">
      <c r="A6282" t="str">
        <f>T("   940540")</f>
        <v xml:space="preserve">   940540</v>
      </c>
      <c r="B6282" t="str">
        <f>T("   Appareils d'éclairage électrique, n.d.a.")</f>
        <v xml:space="preserve">   Appareils d'éclairage électrique, n.d.a.</v>
      </c>
      <c r="C6282">
        <v>2162044</v>
      </c>
      <c r="D6282">
        <v>1329</v>
      </c>
    </row>
    <row r="6283" spans="1:4" x14ac:dyDescent="0.25">
      <c r="A6283" t="str">
        <f>T("   940550")</f>
        <v xml:space="preserve">   940550</v>
      </c>
      <c r="B6283" t="str">
        <f>T("   Appareils d'éclairage non-électriques, n.d.a.")</f>
        <v xml:space="preserve">   Appareils d'éclairage non-électriques, n.d.a.</v>
      </c>
      <c r="C6283">
        <v>400000</v>
      </c>
      <c r="D6283">
        <v>170</v>
      </c>
    </row>
    <row r="6284" spans="1:4" x14ac:dyDescent="0.25">
      <c r="A6284" t="str">
        <f>T("   950490")</f>
        <v xml:space="preserve">   950490</v>
      </c>
      <c r="B6284" t="s">
        <v>539</v>
      </c>
      <c r="C6284">
        <v>26434</v>
      </c>
      <c r="D6284">
        <v>39</v>
      </c>
    </row>
    <row r="6285" spans="1:4" x14ac:dyDescent="0.25">
      <c r="A6285" t="str">
        <f>T("HM")</f>
        <v>HM</v>
      </c>
      <c r="B6285" t="str">
        <f>T("Heard et McDonald, îles")</f>
        <v>Heard et McDonald, îles</v>
      </c>
    </row>
    <row r="6286" spans="1:4" x14ac:dyDescent="0.25">
      <c r="A6286" t="str">
        <f>T("   ZZ_Total_Produit_SH6")</f>
        <v xml:space="preserve">   ZZ_Total_Produit_SH6</v>
      </c>
      <c r="B6286" t="str">
        <f>T("   ZZ_Total_Produit_SH6")</f>
        <v xml:space="preserve">   ZZ_Total_Produit_SH6</v>
      </c>
      <c r="C6286">
        <v>38359813</v>
      </c>
      <c r="D6286">
        <v>514</v>
      </c>
    </row>
    <row r="6287" spans="1:4" x14ac:dyDescent="0.25">
      <c r="A6287" t="str">
        <f>T("   300490")</f>
        <v xml:space="preserve">   300490</v>
      </c>
      <c r="B6287" t="s">
        <v>84</v>
      </c>
      <c r="C6287">
        <v>2886843</v>
      </c>
      <c r="D6287">
        <v>157</v>
      </c>
    </row>
    <row r="6288" spans="1:4" x14ac:dyDescent="0.25">
      <c r="A6288" t="str">
        <f>T("   841459")</f>
        <v xml:space="preserve">   841459</v>
      </c>
      <c r="B6288"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6288">
        <v>303745</v>
      </c>
      <c r="D6288">
        <v>26.9</v>
      </c>
    </row>
    <row r="6289" spans="1:4" x14ac:dyDescent="0.25">
      <c r="A6289" t="str">
        <f>T("   844316")</f>
        <v xml:space="preserve">   844316</v>
      </c>
      <c r="B6289" t="str">
        <f>T("   MACHINES ET APPAREILS À IMPRIMER, FLEXOGRAPHIQUES")</f>
        <v xml:space="preserve">   MACHINES ET APPAREILS À IMPRIMER, FLEXOGRAPHIQUES</v>
      </c>
      <c r="C6289">
        <v>96714</v>
      </c>
      <c r="D6289">
        <v>8.6</v>
      </c>
    </row>
    <row r="6290" spans="1:4" x14ac:dyDescent="0.25">
      <c r="A6290" t="str">
        <f>T("   847180")</f>
        <v xml:space="preserve">   847180</v>
      </c>
      <c r="B629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290">
        <v>123621</v>
      </c>
      <c r="D6290">
        <v>0.7</v>
      </c>
    </row>
    <row r="6291" spans="1:4" x14ac:dyDescent="0.25">
      <c r="A6291" t="str">
        <f>T("   847190")</f>
        <v xml:space="preserve">   847190</v>
      </c>
      <c r="B629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291">
        <v>7792526</v>
      </c>
      <c r="D6291">
        <v>54.4</v>
      </c>
    </row>
    <row r="6292" spans="1:4" x14ac:dyDescent="0.25">
      <c r="A6292" t="str">
        <f>T("   847340")</f>
        <v xml:space="preserve">   847340</v>
      </c>
      <c r="B6292" t="str">
        <f>T("   Parties et accessoires pour autres machines et appareils de bureau du n° 8472, n.d.a.")</f>
        <v xml:space="preserve">   Parties et accessoires pour autres machines et appareils de bureau du n° 8472, n.d.a.</v>
      </c>
      <c r="C6292">
        <v>5032761</v>
      </c>
      <c r="D6292">
        <v>41</v>
      </c>
    </row>
    <row r="6293" spans="1:4" x14ac:dyDescent="0.25">
      <c r="A6293" t="str">
        <f>T("   850440")</f>
        <v xml:space="preserve">   850440</v>
      </c>
      <c r="B6293" t="str">
        <f>T("   CONVERTISSEURS STATIQUES")</f>
        <v xml:space="preserve">   CONVERTISSEURS STATIQUES</v>
      </c>
      <c r="C6293">
        <v>91639</v>
      </c>
      <c r="D6293">
        <v>1</v>
      </c>
    </row>
    <row r="6294" spans="1:4" x14ac:dyDescent="0.25">
      <c r="A6294" t="str">
        <f>T("   851712")</f>
        <v xml:space="preserve">   851712</v>
      </c>
      <c r="B6294" t="str">
        <f>T("   TÉLÉPHONES POUR RÉSEAUX CELLULAIRES [TÉLÉPHONES MOBILES] ET POUR AUTRES RÉSEAUX SANS FIL")</f>
        <v xml:space="preserve">   TÉLÉPHONES POUR RÉSEAUX CELLULAIRES [TÉLÉPHONES MOBILES] ET POUR AUTRES RÉSEAUX SANS FIL</v>
      </c>
      <c r="C6294">
        <v>1243326</v>
      </c>
      <c r="D6294">
        <v>10.6</v>
      </c>
    </row>
    <row r="6295" spans="1:4" x14ac:dyDescent="0.25">
      <c r="A6295" t="str">
        <f>T("   851762")</f>
        <v xml:space="preserve">   851762</v>
      </c>
      <c r="B6295" t="s">
        <v>480</v>
      </c>
      <c r="C6295">
        <v>695593</v>
      </c>
      <c r="D6295">
        <v>33</v>
      </c>
    </row>
    <row r="6296" spans="1:4" x14ac:dyDescent="0.25">
      <c r="A6296" t="str">
        <f>T("   851769")</f>
        <v xml:space="preserve">   851769</v>
      </c>
      <c r="B6296" t="s">
        <v>481</v>
      </c>
      <c r="C6296">
        <v>18245848</v>
      </c>
      <c r="D6296">
        <v>155</v>
      </c>
    </row>
    <row r="6297" spans="1:4" x14ac:dyDescent="0.25">
      <c r="A6297" t="str">
        <f>T("   851770")</f>
        <v xml:space="preserve">   851770</v>
      </c>
      <c r="B6297"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6297">
        <v>300834</v>
      </c>
      <c r="D6297">
        <v>10.8</v>
      </c>
    </row>
    <row r="6298" spans="1:4" x14ac:dyDescent="0.25">
      <c r="A6298" t="str">
        <f>T("   851829")</f>
        <v xml:space="preserve">   851829</v>
      </c>
      <c r="B6298" t="str">
        <f>T("   Haut-parleurs sans enceinte")</f>
        <v xml:space="preserve">   Haut-parleurs sans enceinte</v>
      </c>
      <c r="C6298">
        <v>648941</v>
      </c>
      <c r="D6298">
        <v>1</v>
      </c>
    </row>
    <row r="6299" spans="1:4" x14ac:dyDescent="0.25">
      <c r="A6299" t="str">
        <f>T("   900720")</f>
        <v xml:space="preserve">   900720</v>
      </c>
      <c r="B6299" t="str">
        <f>T("   Projecteurs cinématographiques")</f>
        <v xml:space="preserve">   Projecteurs cinématographiques</v>
      </c>
      <c r="C6299">
        <v>897422</v>
      </c>
      <c r="D6299">
        <v>14</v>
      </c>
    </row>
    <row r="6300" spans="1:4" x14ac:dyDescent="0.25">
      <c r="A6300" t="str">
        <f>T("HN")</f>
        <v>HN</v>
      </c>
      <c r="B6300" t="str">
        <f>T("Honduras")</f>
        <v>Honduras</v>
      </c>
    </row>
    <row r="6301" spans="1:4" x14ac:dyDescent="0.25">
      <c r="A6301" t="str">
        <f>T("   ZZ_Total_Produit_SH6")</f>
        <v xml:space="preserve">   ZZ_Total_Produit_SH6</v>
      </c>
      <c r="B6301" t="str">
        <f>T("   ZZ_Total_Produit_SH6")</f>
        <v xml:space="preserve">   ZZ_Total_Produit_SH6</v>
      </c>
      <c r="C6301">
        <v>155241</v>
      </c>
      <c r="D6301">
        <v>4.5</v>
      </c>
    </row>
    <row r="6302" spans="1:4" x14ac:dyDescent="0.25">
      <c r="A6302" t="str">
        <f>T("   820411")</f>
        <v xml:space="preserve">   820411</v>
      </c>
      <c r="B6302" t="str">
        <f>T("   Clés de serrage à main, y.c. -les clés dynamométriques-, en métaux communs, à ouverture fixe")</f>
        <v xml:space="preserve">   Clés de serrage à main, y.c. -les clés dynamométriques-, en métaux communs, à ouverture fixe</v>
      </c>
      <c r="C6302">
        <v>20000</v>
      </c>
      <c r="D6302">
        <v>4</v>
      </c>
    </row>
    <row r="6303" spans="1:4" x14ac:dyDescent="0.25">
      <c r="A6303" t="str">
        <f>T("   847190")</f>
        <v xml:space="preserve">   847190</v>
      </c>
      <c r="B630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03">
        <v>135241</v>
      </c>
      <c r="D6303">
        <v>0.5</v>
      </c>
    </row>
    <row r="6304" spans="1:4" x14ac:dyDescent="0.25">
      <c r="A6304" t="str">
        <f>T("HR")</f>
        <v>HR</v>
      </c>
      <c r="B6304" t="str">
        <f>T("Croatie")</f>
        <v>Croatie</v>
      </c>
    </row>
    <row r="6305" spans="1:4" x14ac:dyDescent="0.25">
      <c r="A6305" t="str">
        <f>T("   ZZ_Total_Produit_SH6")</f>
        <v xml:space="preserve">   ZZ_Total_Produit_SH6</v>
      </c>
      <c r="B6305" t="str">
        <f>T("   ZZ_Total_Produit_SH6")</f>
        <v xml:space="preserve">   ZZ_Total_Produit_SH6</v>
      </c>
      <c r="C6305">
        <v>35966452</v>
      </c>
      <c r="D6305">
        <v>88629.3</v>
      </c>
    </row>
    <row r="6306" spans="1:4" x14ac:dyDescent="0.25">
      <c r="A6306" t="str">
        <f>T("   321410")</f>
        <v xml:space="preserve">   321410</v>
      </c>
      <c r="B6306" t="str">
        <f>T("   Mastic de vitrier, ciments de résine et autres mastics; enduits utilisés en peinture")</f>
        <v xml:space="preserve">   Mastic de vitrier, ciments de résine et autres mastics; enduits utilisés en peinture</v>
      </c>
      <c r="C6306">
        <v>983940</v>
      </c>
      <c r="D6306">
        <v>160</v>
      </c>
    </row>
    <row r="6307" spans="1:4" x14ac:dyDescent="0.25">
      <c r="A6307" t="str">
        <f>T("   392111")</f>
        <v xml:space="preserve">   392111</v>
      </c>
      <c r="B6307" t="s">
        <v>151</v>
      </c>
      <c r="C6307">
        <v>1246324</v>
      </c>
      <c r="D6307">
        <v>500</v>
      </c>
    </row>
    <row r="6308" spans="1:4" x14ac:dyDescent="0.25">
      <c r="A6308" t="str">
        <f>T("   700529")</f>
        <v xml:space="preserve">   700529</v>
      </c>
      <c r="B6308" t="s">
        <v>343</v>
      </c>
      <c r="C6308">
        <v>8220000</v>
      </c>
      <c r="D6308">
        <v>20500</v>
      </c>
    </row>
    <row r="6309" spans="1:4" x14ac:dyDescent="0.25">
      <c r="A6309" t="str">
        <f>T("   700800")</f>
        <v xml:space="preserve">   700800</v>
      </c>
      <c r="B6309" t="str">
        <f>T("   Vitrages isolants à parois multiples")</f>
        <v xml:space="preserve">   Vitrages isolants à parois multiples</v>
      </c>
      <c r="C6309">
        <v>17251748</v>
      </c>
      <c r="D6309">
        <v>65830</v>
      </c>
    </row>
    <row r="6310" spans="1:4" x14ac:dyDescent="0.25">
      <c r="A6310" t="str">
        <f>T("   760429")</f>
        <v xml:space="preserve">   760429</v>
      </c>
      <c r="B6310" t="str">
        <f>T("   Barres et profilés pleins en alliages d'aluminium, n.d.a.")</f>
        <v xml:space="preserve">   Barres et profilés pleins en alliages d'aluminium, n.d.a.</v>
      </c>
      <c r="C6310">
        <v>7543540</v>
      </c>
      <c r="D6310">
        <v>1500</v>
      </c>
    </row>
    <row r="6311" spans="1:4" x14ac:dyDescent="0.25">
      <c r="A6311" t="str">
        <f>T("   820231")</f>
        <v xml:space="preserve">   820231</v>
      </c>
      <c r="B6311" t="str">
        <f>T("   Lames de scies circulaires, y.c. -les lames de fraises-scies- en métaux communs et avec partie travaillante en acier")</f>
        <v xml:space="preserve">   Lames de scies circulaires, y.c. -les lames de fraises-scies- en métaux communs et avec partie travaillante en acier</v>
      </c>
      <c r="C6311">
        <v>327980</v>
      </c>
      <c r="D6311">
        <v>130</v>
      </c>
    </row>
    <row r="6312" spans="1:4" x14ac:dyDescent="0.25">
      <c r="A6312" t="str">
        <f>T("   843139")</f>
        <v xml:space="preserve">   843139</v>
      </c>
      <c r="B6312" t="str">
        <f>T("   Parties de machines et appareils du n° 8428, n.d.a.")</f>
        <v xml:space="preserve">   Parties de machines et appareils du n° 8428, n.d.a.</v>
      </c>
      <c r="C6312">
        <v>392920</v>
      </c>
      <c r="D6312">
        <v>9.3000000000000007</v>
      </c>
    </row>
    <row r="6313" spans="1:4" x14ac:dyDescent="0.25">
      <c r="A6313" t="str">
        <f>T("HT")</f>
        <v>HT</v>
      </c>
      <c r="B6313" t="str">
        <f>T("Haïti")</f>
        <v>Haïti</v>
      </c>
    </row>
    <row r="6314" spans="1:4" x14ac:dyDescent="0.25">
      <c r="A6314" t="str">
        <f>T("   ZZ_Total_Produit_SH6")</f>
        <v xml:space="preserve">   ZZ_Total_Produit_SH6</v>
      </c>
      <c r="B6314" t="str">
        <f>T("   ZZ_Total_Produit_SH6")</f>
        <v xml:space="preserve">   ZZ_Total_Produit_SH6</v>
      </c>
      <c r="C6314">
        <v>2000000</v>
      </c>
      <c r="D6314">
        <v>914</v>
      </c>
    </row>
    <row r="6315" spans="1:4" x14ac:dyDescent="0.25">
      <c r="A6315" t="str">
        <f>T("   620590")</f>
        <v xml:space="preserve">   620590</v>
      </c>
      <c r="B631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315">
        <v>1200000</v>
      </c>
      <c r="D6315">
        <v>600</v>
      </c>
    </row>
    <row r="6316" spans="1:4" x14ac:dyDescent="0.25">
      <c r="A6316" t="str">
        <f>T("   732394")</f>
        <v xml:space="preserve">   732394</v>
      </c>
      <c r="B6316" t="s">
        <v>389</v>
      </c>
      <c r="C6316">
        <v>800000</v>
      </c>
      <c r="D6316">
        <v>314</v>
      </c>
    </row>
    <row r="6317" spans="1:4" x14ac:dyDescent="0.25">
      <c r="A6317" t="str">
        <f>T("HU")</f>
        <v>HU</v>
      </c>
      <c r="B6317" t="str">
        <f>T("Hongrie")</f>
        <v>Hongrie</v>
      </c>
    </row>
    <row r="6318" spans="1:4" x14ac:dyDescent="0.25">
      <c r="A6318" t="str">
        <f>T("   ZZ_Total_Produit_SH6")</f>
        <v xml:space="preserve">   ZZ_Total_Produit_SH6</v>
      </c>
      <c r="B6318" t="str">
        <f>T("   ZZ_Total_Produit_SH6")</f>
        <v xml:space="preserve">   ZZ_Total_Produit_SH6</v>
      </c>
      <c r="C6318">
        <v>105319352</v>
      </c>
      <c r="D6318">
        <v>58882.9</v>
      </c>
    </row>
    <row r="6319" spans="1:4" x14ac:dyDescent="0.25">
      <c r="A6319" t="str">
        <f>T("   020727")</f>
        <v xml:space="preserve">   020727</v>
      </c>
      <c r="B6319" t="str">
        <f>T("   Morceaux et abats comestibles de dindes et dindons [des espèces domestiques], congelés")</f>
        <v xml:space="preserve">   Morceaux et abats comestibles de dindes et dindons [des espèces domestiques], congelés</v>
      </c>
      <c r="C6319">
        <v>15550011</v>
      </c>
      <c r="D6319">
        <v>23000</v>
      </c>
    </row>
    <row r="6320" spans="1:4" x14ac:dyDescent="0.25">
      <c r="A6320" t="str">
        <f>T("   630900")</f>
        <v xml:space="preserve">   630900</v>
      </c>
      <c r="B6320" t="s">
        <v>300</v>
      </c>
      <c r="C6320">
        <v>17477200</v>
      </c>
      <c r="D6320">
        <v>31504</v>
      </c>
    </row>
    <row r="6321" spans="1:4" x14ac:dyDescent="0.25">
      <c r="A6321" t="str">
        <f>T("   842481")</f>
        <v xml:space="preserve">   842481</v>
      </c>
      <c r="B6321"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6321">
        <v>35985931</v>
      </c>
      <c r="D6321">
        <v>75</v>
      </c>
    </row>
    <row r="6322" spans="1:4" x14ac:dyDescent="0.25">
      <c r="A6322" t="str">
        <f>T("   847290")</f>
        <v xml:space="preserve">   847290</v>
      </c>
      <c r="B6322" t="str">
        <f>T("   Machines et appareils de bureau, n.d.a.")</f>
        <v xml:space="preserve">   Machines et appareils de bureau, n.d.a.</v>
      </c>
      <c r="C6322">
        <v>35426398</v>
      </c>
      <c r="D6322">
        <v>4025</v>
      </c>
    </row>
    <row r="6323" spans="1:4" x14ac:dyDescent="0.25">
      <c r="A6323" t="str">
        <f>T("   851712")</f>
        <v xml:space="preserve">   851712</v>
      </c>
      <c r="B6323" t="str">
        <f>T("   TÉLÉPHONES POUR RÉSEAUX CELLULAIRES [TÉLÉPHONES MOBILES] ET POUR AUTRES RÉSEAUX SANS FIL")</f>
        <v xml:space="preserve">   TÉLÉPHONES POUR RÉSEAUX CELLULAIRES [TÉLÉPHONES MOBILES] ET POUR AUTRES RÉSEAUX SANS FIL</v>
      </c>
      <c r="C6323">
        <v>217850</v>
      </c>
      <c r="D6323">
        <v>70.900000000000006</v>
      </c>
    </row>
    <row r="6324" spans="1:4" x14ac:dyDescent="0.25">
      <c r="A6324" t="str">
        <f>T("   851770")</f>
        <v xml:space="preserve">   851770</v>
      </c>
      <c r="B6324"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6324">
        <v>661962</v>
      </c>
      <c r="D6324">
        <v>208</v>
      </c>
    </row>
    <row r="6325" spans="1:4" x14ac:dyDescent="0.25">
      <c r="A6325" t="str">
        <f>T("ID")</f>
        <v>ID</v>
      </c>
      <c r="B6325" t="str">
        <f>T("Indonésie")</f>
        <v>Indonésie</v>
      </c>
    </row>
    <row r="6326" spans="1:4" x14ac:dyDescent="0.25">
      <c r="A6326" t="str">
        <f>T("   ZZ_Total_Produit_SH6")</f>
        <v xml:space="preserve">   ZZ_Total_Produit_SH6</v>
      </c>
      <c r="B6326" t="str">
        <f>T("   ZZ_Total_Produit_SH6")</f>
        <v xml:space="preserve">   ZZ_Total_Produit_SH6</v>
      </c>
      <c r="C6326">
        <v>3926060904.2620001</v>
      </c>
      <c r="D6326">
        <v>13061539.199999999</v>
      </c>
    </row>
    <row r="6327" spans="1:4" x14ac:dyDescent="0.25">
      <c r="A6327" t="str">
        <f>T("   100620")</f>
        <v xml:space="preserve">   100620</v>
      </c>
      <c r="B6327" t="str">
        <f>T("   Riz décortiqué [riz cargo ou riz brun]")</f>
        <v xml:space="preserve">   Riz décortiqué [riz cargo ou riz brun]</v>
      </c>
      <c r="C6327">
        <v>166719499.94499999</v>
      </c>
      <c r="D6327">
        <v>502400</v>
      </c>
    </row>
    <row r="6328" spans="1:4" x14ac:dyDescent="0.25">
      <c r="A6328" t="str">
        <f>T("   100630")</f>
        <v xml:space="preserve">   100630</v>
      </c>
      <c r="B6328" t="str">
        <f>T("   Riz semi-blanchi ou blanchi, même poli ou glacé")</f>
        <v xml:space="preserve">   Riz semi-blanchi ou blanchi, même poli ou glacé</v>
      </c>
      <c r="C6328">
        <v>300301808.403</v>
      </c>
      <c r="D6328">
        <v>1072024</v>
      </c>
    </row>
    <row r="6329" spans="1:4" x14ac:dyDescent="0.25">
      <c r="A6329" t="str">
        <f>T("   110100")</f>
        <v xml:space="preserve">   110100</v>
      </c>
      <c r="B6329" t="str">
        <f>T("   Farines de froment [blé] ou de méteil")</f>
        <v xml:space="preserve">   Farines de froment [blé] ou de méteil</v>
      </c>
      <c r="C6329">
        <v>11877827.498</v>
      </c>
      <c r="D6329">
        <v>44088</v>
      </c>
    </row>
    <row r="6330" spans="1:4" x14ac:dyDescent="0.25">
      <c r="A6330" t="str">
        <f>T("   151110")</f>
        <v xml:space="preserve">   151110</v>
      </c>
      <c r="B6330" t="str">
        <f>T("   Huile de palme, brute")</f>
        <v xml:space="preserve">   Huile de palme, brute</v>
      </c>
      <c r="C6330">
        <v>11410000</v>
      </c>
      <c r="D6330">
        <v>45640</v>
      </c>
    </row>
    <row r="6331" spans="1:4" x14ac:dyDescent="0.25">
      <c r="A6331" t="str">
        <f>T("   151190")</f>
        <v xml:space="preserve">   151190</v>
      </c>
      <c r="B6331" t="str">
        <f>T("   Huile de palme et ses fractions, même raffinées, mais non chimiquement modifiées (à l'excl. de l'huile de palme brute)")</f>
        <v xml:space="preserve">   Huile de palme et ses fractions, même raffinées, mais non chimiquement modifiées (à l'excl. de l'huile de palme brute)</v>
      </c>
      <c r="C6331">
        <v>635314559.37699997</v>
      </c>
      <c r="D6331">
        <v>1738000</v>
      </c>
    </row>
    <row r="6332" spans="1:4" x14ac:dyDescent="0.25">
      <c r="A6332" t="str">
        <f>T("   151620")</f>
        <v xml:space="preserve">   151620</v>
      </c>
      <c r="B633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332">
        <v>550257849</v>
      </c>
      <c r="D6332">
        <v>2223293</v>
      </c>
    </row>
    <row r="6333" spans="1:4" x14ac:dyDescent="0.25">
      <c r="A6333" t="str">
        <f>T("   151710")</f>
        <v xml:space="preserve">   151710</v>
      </c>
      <c r="B6333" t="str">
        <f>T("   Margarine (à l'excl. de la margarine liquide)")</f>
        <v xml:space="preserve">   Margarine (à l'excl. de la margarine liquide)</v>
      </c>
      <c r="C6333">
        <v>44076058</v>
      </c>
      <c r="D6333">
        <v>192869</v>
      </c>
    </row>
    <row r="6334" spans="1:4" x14ac:dyDescent="0.25">
      <c r="A6334" t="str">
        <f>T("   160413")</f>
        <v xml:space="preserve">   160413</v>
      </c>
      <c r="B633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334">
        <v>19509690</v>
      </c>
      <c r="D6334">
        <v>47200</v>
      </c>
    </row>
    <row r="6335" spans="1:4" x14ac:dyDescent="0.25">
      <c r="A6335" t="str">
        <f>T("   170191")</f>
        <v xml:space="preserve">   170191</v>
      </c>
      <c r="B6335" t="str">
        <f>T("   Sucres de canne ou de betterave, à l'état solide, additionnés d'aromatisants ou de colorants")</f>
        <v xml:space="preserve">   Sucres de canne ou de betterave, à l'état solide, additionnés d'aromatisants ou de colorants</v>
      </c>
      <c r="C6335">
        <v>181559442.03799999</v>
      </c>
      <c r="D6335">
        <v>840000</v>
      </c>
    </row>
    <row r="6336" spans="1:4" x14ac:dyDescent="0.25">
      <c r="A6336" t="str">
        <f>T("   170490")</f>
        <v xml:space="preserve">   170490</v>
      </c>
      <c r="B6336" t="str">
        <f>T("   Sucreries sans cacao, y.c. le chocolat blanc (à l'excl. des gommes à mâcher)")</f>
        <v xml:space="preserve">   Sucreries sans cacao, y.c. le chocolat blanc (à l'excl. des gommes à mâcher)</v>
      </c>
      <c r="C6336">
        <v>47844608</v>
      </c>
      <c r="D6336">
        <v>261708</v>
      </c>
    </row>
    <row r="6337" spans="1:4" x14ac:dyDescent="0.25">
      <c r="A6337" t="str">
        <f>T("   190190")</f>
        <v xml:space="preserve">   190190</v>
      </c>
      <c r="B6337" t="s">
        <v>50</v>
      </c>
      <c r="C6337">
        <v>9724492</v>
      </c>
      <c r="D6337">
        <v>57285</v>
      </c>
    </row>
    <row r="6338" spans="1:4" x14ac:dyDescent="0.25">
      <c r="A6338" t="str">
        <f>T("   190590")</f>
        <v xml:space="preserve">   190590</v>
      </c>
      <c r="B6338" t="s">
        <v>52</v>
      </c>
      <c r="C6338">
        <v>3457703</v>
      </c>
      <c r="D6338">
        <v>2526</v>
      </c>
    </row>
    <row r="6339" spans="1:4" x14ac:dyDescent="0.25">
      <c r="A6339" t="str">
        <f>T("   220300")</f>
        <v xml:space="preserve">   220300</v>
      </c>
      <c r="B6339" t="str">
        <f>T("   Bières de malt")</f>
        <v xml:space="preserve">   Bières de malt</v>
      </c>
      <c r="C6339">
        <v>2652000</v>
      </c>
      <c r="D6339">
        <v>17683</v>
      </c>
    </row>
    <row r="6340" spans="1:4" x14ac:dyDescent="0.25">
      <c r="A6340" t="str">
        <f>T("   300220")</f>
        <v xml:space="preserve">   300220</v>
      </c>
      <c r="B6340" t="str">
        <f>T("   Vaccins pour la médecine humaine")</f>
        <v xml:space="preserve">   Vaccins pour la médecine humaine</v>
      </c>
      <c r="C6340">
        <v>256485717</v>
      </c>
      <c r="D6340">
        <v>3580</v>
      </c>
    </row>
    <row r="6341" spans="1:4" x14ac:dyDescent="0.25">
      <c r="A6341" t="str">
        <f>T("   300490")</f>
        <v xml:space="preserve">   300490</v>
      </c>
      <c r="B6341" t="s">
        <v>84</v>
      </c>
      <c r="C6341">
        <v>134758440</v>
      </c>
      <c r="D6341">
        <v>50025</v>
      </c>
    </row>
    <row r="6342" spans="1:4" x14ac:dyDescent="0.25">
      <c r="A6342" t="str">
        <f>T("   330499")</f>
        <v xml:space="preserve">   330499</v>
      </c>
      <c r="B6342" t="s">
        <v>106</v>
      </c>
      <c r="C6342">
        <v>7937116</v>
      </c>
      <c r="D6342">
        <v>7200</v>
      </c>
    </row>
    <row r="6343" spans="1:4" x14ac:dyDescent="0.25">
      <c r="A6343" t="str">
        <f>T("   340111")</f>
        <v xml:space="preserve">   340111</v>
      </c>
      <c r="B6343" t="s">
        <v>107</v>
      </c>
      <c r="C6343">
        <v>481994436</v>
      </c>
      <c r="D6343">
        <v>2567277</v>
      </c>
    </row>
    <row r="6344" spans="1:4" x14ac:dyDescent="0.25">
      <c r="A6344" t="str">
        <f>T("   340119")</f>
        <v xml:space="preserve">   340119</v>
      </c>
      <c r="B6344" t="s">
        <v>108</v>
      </c>
      <c r="C6344">
        <v>319717505</v>
      </c>
      <c r="D6344">
        <v>1671423.2</v>
      </c>
    </row>
    <row r="6345" spans="1:4" x14ac:dyDescent="0.25">
      <c r="A6345" t="str">
        <f>T("   340219")</f>
        <v xml:space="preserve">   340219</v>
      </c>
      <c r="B6345"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345">
        <v>90584431</v>
      </c>
      <c r="D6345">
        <v>270730</v>
      </c>
    </row>
    <row r="6346" spans="1:4" x14ac:dyDescent="0.25">
      <c r="A6346" t="str">
        <f>T("   340290")</f>
        <v xml:space="preserve">   340290</v>
      </c>
      <c r="B6346" t="s">
        <v>110</v>
      </c>
      <c r="C6346">
        <v>43196000</v>
      </c>
      <c r="D6346">
        <v>96480</v>
      </c>
    </row>
    <row r="6347" spans="1:4" x14ac:dyDescent="0.25">
      <c r="A6347" t="str">
        <f>T("   380850")</f>
        <v xml:space="preserve">   380850</v>
      </c>
      <c r="B6347" t="s">
        <v>125</v>
      </c>
      <c r="C6347">
        <v>1620900</v>
      </c>
      <c r="D6347">
        <v>8980</v>
      </c>
    </row>
    <row r="6348" spans="1:4" x14ac:dyDescent="0.25">
      <c r="A6348" t="str">
        <f>T("   391910")</f>
        <v xml:space="preserve">   391910</v>
      </c>
      <c r="B6348"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6348">
        <v>15589241</v>
      </c>
      <c r="D6348">
        <v>9645</v>
      </c>
    </row>
    <row r="6349" spans="1:4" x14ac:dyDescent="0.25">
      <c r="A6349" t="str">
        <f>T("   401110")</f>
        <v xml:space="preserve">   401110</v>
      </c>
      <c r="B634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349">
        <v>7623246</v>
      </c>
      <c r="D6349">
        <v>2168</v>
      </c>
    </row>
    <row r="6350" spans="1:4" x14ac:dyDescent="0.25">
      <c r="A6350" t="str">
        <f>T("   480256")</f>
        <v xml:space="preserve">   480256</v>
      </c>
      <c r="B6350" t="s">
        <v>207</v>
      </c>
      <c r="C6350">
        <v>3265000</v>
      </c>
      <c r="D6350">
        <v>20427</v>
      </c>
    </row>
    <row r="6351" spans="1:4" x14ac:dyDescent="0.25">
      <c r="A6351" t="str">
        <f>T("   480257")</f>
        <v xml:space="preserve">   480257</v>
      </c>
      <c r="B6351" t="s">
        <v>208</v>
      </c>
      <c r="C6351">
        <v>405273093</v>
      </c>
      <c r="D6351">
        <v>918058</v>
      </c>
    </row>
    <row r="6352" spans="1:4" x14ac:dyDescent="0.25">
      <c r="A6352" t="str">
        <f>T("   480258")</f>
        <v xml:space="preserve">   480258</v>
      </c>
      <c r="B6352" t="s">
        <v>209</v>
      </c>
      <c r="C6352">
        <v>58905857</v>
      </c>
      <c r="D6352">
        <v>121798</v>
      </c>
    </row>
    <row r="6353" spans="1:4" x14ac:dyDescent="0.25">
      <c r="A6353" t="str">
        <f>T("   480593")</f>
        <v xml:space="preserve">   480593</v>
      </c>
      <c r="B6353"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6353">
        <v>21457804</v>
      </c>
      <c r="D6353">
        <v>39898</v>
      </c>
    </row>
    <row r="6354" spans="1:4" x14ac:dyDescent="0.25">
      <c r="A6354" t="str">
        <f>T("   481910")</f>
        <v xml:space="preserve">   481910</v>
      </c>
      <c r="B6354" t="str">
        <f>T("   Boîtes et caisses en papier ou en carton ondulé")</f>
        <v xml:space="preserve">   Boîtes et caisses en papier ou en carton ondulé</v>
      </c>
      <c r="C6354">
        <v>7386097</v>
      </c>
      <c r="D6354">
        <v>20303</v>
      </c>
    </row>
    <row r="6355" spans="1:4" x14ac:dyDescent="0.25">
      <c r="A6355" t="str">
        <f>T("   482020")</f>
        <v xml:space="preserve">   482020</v>
      </c>
      <c r="B6355" t="str">
        <f>T("   Cahiers pour l'écriture, en papier ou carton")</f>
        <v xml:space="preserve">   Cahiers pour l'écriture, en papier ou carton</v>
      </c>
      <c r="C6355">
        <v>5246000</v>
      </c>
      <c r="D6355">
        <v>35214</v>
      </c>
    </row>
    <row r="6356" spans="1:4" x14ac:dyDescent="0.25">
      <c r="A6356" t="str">
        <f>T("   491110")</f>
        <v xml:space="preserve">   491110</v>
      </c>
      <c r="B6356" t="str">
        <f>T("   Imprimés publicitaires, catalogues commerciaux et simil.")</f>
        <v xml:space="preserve">   Imprimés publicitaires, catalogues commerciaux et simil.</v>
      </c>
      <c r="C6356">
        <v>328326</v>
      </c>
      <c r="D6356">
        <v>3957</v>
      </c>
    </row>
    <row r="6357" spans="1:4" x14ac:dyDescent="0.25">
      <c r="A6357" t="str">
        <f>T("   610990")</f>
        <v xml:space="preserve">   610990</v>
      </c>
      <c r="B6357" t="str">
        <f>T("   T-shirts et maillots de corps, en bonneterie, de matières textiles (sauf de coton)")</f>
        <v xml:space="preserve">   T-shirts et maillots de corps, en bonneterie, de matières textiles (sauf de coton)</v>
      </c>
      <c r="C6357">
        <v>331260</v>
      </c>
      <c r="D6357">
        <v>426</v>
      </c>
    </row>
    <row r="6358" spans="1:4" x14ac:dyDescent="0.25">
      <c r="A6358" t="str">
        <f>T("   620930")</f>
        <v xml:space="preserve">   620930</v>
      </c>
      <c r="B6358" t="str">
        <f>T("   Vêtements et accessoires du vêtement, de fibres synthétiques, pour bébés (autres qu'en bonneterie et sauf bonnets)")</f>
        <v xml:space="preserve">   Vêtements et accessoires du vêtement, de fibres synthétiques, pour bébés (autres qu'en bonneterie et sauf bonnets)</v>
      </c>
      <c r="C6358">
        <v>3276898</v>
      </c>
      <c r="D6358">
        <v>6500</v>
      </c>
    </row>
    <row r="6359" spans="1:4" x14ac:dyDescent="0.25">
      <c r="A6359" t="str">
        <f>T("   701329")</f>
        <v xml:space="preserve">   701329</v>
      </c>
      <c r="B6359" t="str">
        <f>T("   Verres à boire (autres qu'en vitrocérame, autres qu'en cristal au plomb)")</f>
        <v xml:space="preserve">   Verres à boire (autres qu'en vitrocérame, autres qu'en cristal au plomb)</v>
      </c>
      <c r="C6359">
        <v>2048500</v>
      </c>
      <c r="D6359">
        <v>6341</v>
      </c>
    </row>
    <row r="6360" spans="1:4" x14ac:dyDescent="0.25">
      <c r="A6360" t="str">
        <f>T("   701399")</f>
        <v xml:space="preserve">   701399</v>
      </c>
      <c r="B6360" t="s">
        <v>355</v>
      </c>
      <c r="C6360">
        <v>35567710</v>
      </c>
      <c r="D6360">
        <v>104641</v>
      </c>
    </row>
    <row r="6361" spans="1:4" x14ac:dyDescent="0.25">
      <c r="A6361" t="str">
        <f>T("   732399")</f>
        <v xml:space="preserve">   732399</v>
      </c>
      <c r="B6361" t="s">
        <v>390</v>
      </c>
      <c r="C6361">
        <v>12234187</v>
      </c>
      <c r="D6361">
        <v>36214</v>
      </c>
    </row>
    <row r="6362" spans="1:4" x14ac:dyDescent="0.25">
      <c r="A6362" t="str">
        <f>T("   842290")</f>
        <v xml:space="preserve">   842290</v>
      </c>
      <c r="B636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362">
        <v>1689947</v>
      </c>
      <c r="D6362">
        <v>6</v>
      </c>
    </row>
    <row r="6363" spans="1:4" x14ac:dyDescent="0.25">
      <c r="A6363" t="str">
        <f>T("   847990")</f>
        <v xml:space="preserve">   847990</v>
      </c>
      <c r="B6363" t="str">
        <f>T("   Parties de machines et appareils, y.c. les appareils mécaniques, n.d.a.")</f>
        <v xml:space="preserve">   Parties de machines et appareils, y.c. les appareils mécaniques, n.d.a.</v>
      </c>
      <c r="C6363">
        <v>175388</v>
      </c>
      <c r="D6363">
        <v>6</v>
      </c>
    </row>
    <row r="6364" spans="1:4" x14ac:dyDescent="0.25">
      <c r="A6364" t="str">
        <f>T("   851780")</f>
        <v xml:space="preserve">   851780</v>
      </c>
      <c r="B6364" t="s">
        <v>482</v>
      </c>
      <c r="C6364">
        <v>969509</v>
      </c>
      <c r="D6364">
        <v>343</v>
      </c>
    </row>
    <row r="6365" spans="1:4" x14ac:dyDescent="0.25">
      <c r="A6365" t="str">
        <f>T("   851790")</f>
        <v xml:space="preserve">   851790</v>
      </c>
      <c r="B6365" t="s">
        <v>483</v>
      </c>
      <c r="C6365">
        <v>1432617</v>
      </c>
      <c r="D6365">
        <v>415</v>
      </c>
    </row>
    <row r="6366" spans="1:4" x14ac:dyDescent="0.25">
      <c r="A6366" t="str">
        <f>T("   870323")</f>
        <v xml:space="preserve">   870323</v>
      </c>
      <c r="B6366" t="s">
        <v>507</v>
      </c>
      <c r="C6366">
        <v>1200000</v>
      </c>
      <c r="D6366">
        <v>1000</v>
      </c>
    </row>
    <row r="6367" spans="1:4" x14ac:dyDescent="0.25">
      <c r="A6367" t="str">
        <f>T("   871120")</f>
        <v xml:space="preserve">   871120</v>
      </c>
      <c r="B6367" t="str">
        <f>T("   Motocycles à moteur à piston alternatif, cylindrée &gt; 50 cm³ mais &lt;= 250 cm³")</f>
        <v xml:space="preserve">   Motocycles à moteur à piston alternatif, cylindrée &gt; 50 cm³ mais &lt;= 250 cm³</v>
      </c>
      <c r="C6367">
        <v>21060142</v>
      </c>
      <c r="D6367">
        <v>13768</v>
      </c>
    </row>
    <row r="6368" spans="1:4" x14ac:dyDescent="0.25">
      <c r="A6368" t="str">
        <f>T("IE")</f>
        <v>IE</v>
      </c>
      <c r="B6368" t="str">
        <f>T("Irlande")</f>
        <v>Irlande</v>
      </c>
    </row>
    <row r="6369" spans="1:4" x14ac:dyDescent="0.25">
      <c r="A6369" t="str">
        <f>T("   ZZ_Total_Produit_SH6")</f>
        <v xml:space="preserve">   ZZ_Total_Produit_SH6</v>
      </c>
      <c r="B6369" t="str">
        <f>T("   ZZ_Total_Produit_SH6")</f>
        <v xml:space="preserve">   ZZ_Total_Produit_SH6</v>
      </c>
      <c r="C6369">
        <v>3170131100</v>
      </c>
      <c r="D6369">
        <v>4133086.8</v>
      </c>
    </row>
    <row r="6370" spans="1:4" x14ac:dyDescent="0.25">
      <c r="A6370" t="str">
        <f>T("   020714")</f>
        <v xml:space="preserve">   020714</v>
      </c>
      <c r="B6370" t="str">
        <f>T("   Morceaux et abats comestibles de coqs et de poules [des espèces domestiques], congelés")</f>
        <v xml:space="preserve">   Morceaux et abats comestibles de coqs et de poules [des espèces domestiques], congelés</v>
      </c>
      <c r="C6370">
        <v>233250164</v>
      </c>
      <c r="D6370">
        <v>375000</v>
      </c>
    </row>
    <row r="6371" spans="1:4" x14ac:dyDescent="0.25">
      <c r="A6371" t="str">
        <f>T("   020727")</f>
        <v xml:space="preserve">   020727</v>
      </c>
      <c r="B6371" t="str">
        <f>T("   Morceaux et abats comestibles de dindes et dindons [des espèces domestiques], congelés")</f>
        <v xml:space="preserve">   Morceaux et abats comestibles de dindes et dindons [des espèces domestiques], congelés</v>
      </c>
      <c r="C6371">
        <v>264350184</v>
      </c>
      <c r="D6371">
        <v>425000</v>
      </c>
    </row>
    <row r="6372" spans="1:4" x14ac:dyDescent="0.25">
      <c r="A6372" t="str">
        <f>T("   030374")</f>
        <v xml:space="preserve">   030374</v>
      </c>
      <c r="B6372" t="str">
        <f>T("   Maquereaux [Scomber scombrus, Scomber australasicus, Scomber japonicus], congelés")</f>
        <v xml:space="preserve">   Maquereaux [Scomber scombrus, Scomber australasicus, Scomber japonicus], congelés</v>
      </c>
      <c r="C6372">
        <v>33751110</v>
      </c>
      <c r="D6372">
        <v>150000</v>
      </c>
    </row>
    <row r="6373" spans="1:4" x14ac:dyDescent="0.25">
      <c r="A6373" t="str">
        <f>T("   030379")</f>
        <v xml:space="preserve">   030379</v>
      </c>
      <c r="B6373" t="s">
        <v>16</v>
      </c>
      <c r="C6373">
        <v>219374301</v>
      </c>
      <c r="D6373">
        <v>975000</v>
      </c>
    </row>
    <row r="6374" spans="1:4" x14ac:dyDescent="0.25">
      <c r="A6374" t="str">
        <f>T("   040210")</f>
        <v xml:space="preserve">   040210</v>
      </c>
      <c r="B6374"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374">
        <v>314880000</v>
      </c>
      <c r="D6374">
        <v>150852</v>
      </c>
    </row>
    <row r="6375" spans="1:4" x14ac:dyDescent="0.25">
      <c r="A6375" t="str">
        <f>T("   040221")</f>
        <v xml:space="preserve">   040221</v>
      </c>
      <c r="B6375"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375">
        <v>104956903</v>
      </c>
      <c r="D6375">
        <v>50000</v>
      </c>
    </row>
    <row r="6376" spans="1:4" x14ac:dyDescent="0.25">
      <c r="A6376" t="str">
        <f>T("   300490")</f>
        <v xml:space="preserve">   300490</v>
      </c>
      <c r="B6376" t="s">
        <v>84</v>
      </c>
      <c r="C6376">
        <v>11865105</v>
      </c>
      <c r="D6376">
        <v>1360</v>
      </c>
    </row>
    <row r="6377" spans="1:4" x14ac:dyDescent="0.25">
      <c r="A6377" t="str">
        <f>T("   321490")</f>
        <v xml:space="preserve">   321490</v>
      </c>
      <c r="B6377" t="str">
        <f>T("   Enduits non réfractaires des types utilisés en maçonnerie")</f>
        <v xml:space="preserve">   Enduits non réfractaires des types utilisés en maçonnerie</v>
      </c>
      <c r="C6377">
        <v>3267337</v>
      </c>
      <c r="D6377">
        <v>4131</v>
      </c>
    </row>
    <row r="6378" spans="1:4" x14ac:dyDescent="0.25">
      <c r="A6378" t="str">
        <f>T("   330210")</f>
        <v xml:space="preserve">   330210</v>
      </c>
      <c r="B6378"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378">
        <v>642899836</v>
      </c>
      <c r="D6378">
        <v>124128</v>
      </c>
    </row>
    <row r="6379" spans="1:4" x14ac:dyDescent="0.25">
      <c r="A6379" t="str">
        <f>T("   382490")</f>
        <v xml:space="preserve">   382490</v>
      </c>
      <c r="B6379"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6379">
        <v>30400466</v>
      </c>
      <c r="D6379">
        <v>10350</v>
      </c>
    </row>
    <row r="6380" spans="1:4" x14ac:dyDescent="0.25">
      <c r="A6380" t="str">
        <f>T("   401220")</f>
        <v xml:space="preserve">   401220</v>
      </c>
      <c r="B6380" t="str">
        <f>T("   Pneumatiques usagés, en caoutchouc")</f>
        <v xml:space="preserve">   Pneumatiques usagés, en caoutchouc</v>
      </c>
      <c r="C6380">
        <v>4350000</v>
      </c>
      <c r="D6380">
        <v>21200</v>
      </c>
    </row>
    <row r="6381" spans="1:4" x14ac:dyDescent="0.25">
      <c r="A6381" t="str">
        <f>T("   401310")</f>
        <v xml:space="preserve">   401310</v>
      </c>
      <c r="B638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6381">
        <v>160000</v>
      </c>
      <c r="D6381">
        <v>600</v>
      </c>
    </row>
    <row r="6382" spans="1:4" x14ac:dyDescent="0.25">
      <c r="A6382" t="str">
        <f>T("   630900")</f>
        <v xml:space="preserve">   630900</v>
      </c>
      <c r="B6382" t="s">
        <v>300</v>
      </c>
      <c r="C6382">
        <v>913051068</v>
      </c>
      <c r="D6382">
        <v>1645983</v>
      </c>
    </row>
    <row r="6383" spans="1:4" x14ac:dyDescent="0.25">
      <c r="A6383" t="str">
        <f>T("   640299")</f>
        <v xml:space="preserve">   640299</v>
      </c>
      <c r="B6383" t="s">
        <v>305</v>
      </c>
      <c r="C6383">
        <v>92100000</v>
      </c>
      <c r="D6383">
        <v>131700</v>
      </c>
    </row>
    <row r="6384" spans="1:4" x14ac:dyDescent="0.25">
      <c r="A6384" t="str">
        <f>T("   701090")</f>
        <v xml:space="preserve">   701090</v>
      </c>
      <c r="B6384" t="s">
        <v>348</v>
      </c>
      <c r="C6384">
        <v>104103</v>
      </c>
      <c r="D6384">
        <v>7</v>
      </c>
    </row>
    <row r="6385" spans="1:4" x14ac:dyDescent="0.25">
      <c r="A6385" t="str">
        <f>T("   730810")</f>
        <v xml:space="preserve">   730810</v>
      </c>
      <c r="B6385" t="str">
        <f>T("   Ponts et éléments de ponts, en fer ou en acier")</f>
        <v xml:space="preserve">   Ponts et éléments de ponts, en fer ou en acier</v>
      </c>
      <c r="C6385">
        <v>154071929</v>
      </c>
      <c r="D6385">
        <v>3651.8</v>
      </c>
    </row>
    <row r="6386" spans="1:4" x14ac:dyDescent="0.25">
      <c r="A6386" t="str">
        <f>T("   731100")</f>
        <v xml:space="preserve">   731100</v>
      </c>
      <c r="B6386"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6386">
        <v>800000</v>
      </c>
      <c r="D6386">
        <v>3150</v>
      </c>
    </row>
    <row r="6387" spans="1:4" x14ac:dyDescent="0.25">
      <c r="A6387" t="str">
        <f>T("   841829")</f>
        <v xml:space="preserve">   841829</v>
      </c>
      <c r="B6387" t="str">
        <f>T("   Réfrigérateurs ménagers à absorption, non-électriques")</f>
        <v xml:space="preserve">   Réfrigérateurs ménagers à absorption, non-électriques</v>
      </c>
      <c r="C6387">
        <v>7776898</v>
      </c>
      <c r="D6387">
        <v>40000</v>
      </c>
    </row>
    <row r="6388" spans="1:4" x14ac:dyDescent="0.25">
      <c r="A6388" t="str">
        <f>T("   847290")</f>
        <v xml:space="preserve">   847290</v>
      </c>
      <c r="B6388" t="str">
        <f>T("   Machines et appareils de bureau, n.d.a.")</f>
        <v xml:space="preserve">   Machines et appareils de bureau, n.d.a.</v>
      </c>
      <c r="C6388">
        <v>128206204</v>
      </c>
      <c r="D6388">
        <v>17505</v>
      </c>
    </row>
    <row r="6389" spans="1:4" x14ac:dyDescent="0.25">
      <c r="A6389" t="str">
        <f>T("   848120")</f>
        <v xml:space="preserve">   848120</v>
      </c>
      <c r="B6389" t="str">
        <f>T("   Valves pour transmissions oléohydrauliques ou pneumatiques")</f>
        <v xml:space="preserve">   Valves pour transmissions oléohydrauliques ou pneumatiques</v>
      </c>
      <c r="C6389">
        <v>8418455</v>
      </c>
      <c r="D6389">
        <v>1092</v>
      </c>
    </row>
    <row r="6390" spans="1:4" x14ac:dyDescent="0.25">
      <c r="A6390" t="str">
        <f>T("   850720")</f>
        <v xml:space="preserve">   850720</v>
      </c>
      <c r="B6390" t="str">
        <f>T("   Accumulateurs au plomb (sauf hors d'usage et autres que pour le démarrage des moteurs à piston)")</f>
        <v xml:space="preserve">   Accumulateurs au plomb (sauf hors d'usage et autres que pour le démarrage des moteurs à piston)</v>
      </c>
      <c r="C6390">
        <v>264247</v>
      </c>
      <c r="D6390">
        <v>47</v>
      </c>
    </row>
    <row r="6391" spans="1:4" x14ac:dyDescent="0.25">
      <c r="A6391" t="str">
        <f>T("   852812")</f>
        <v xml:space="preserve">   852812</v>
      </c>
      <c r="B639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391">
        <v>200068</v>
      </c>
      <c r="D6391">
        <v>75</v>
      </c>
    </row>
    <row r="6392" spans="1:4" x14ac:dyDescent="0.25">
      <c r="A6392" t="str">
        <f>T("   870324")</f>
        <v xml:space="preserve">   870324</v>
      </c>
      <c r="B6392" t="s">
        <v>508</v>
      </c>
      <c r="C6392">
        <v>1282722</v>
      </c>
      <c r="D6392">
        <v>1905</v>
      </c>
    </row>
    <row r="6393" spans="1:4" x14ac:dyDescent="0.25">
      <c r="A6393" t="str">
        <f>T("   900890")</f>
        <v xml:space="preserve">   900890</v>
      </c>
      <c r="B6393" t="str">
        <f>T("   Parties et accessoires de projecteurs d'images fixes et d'appareils photographiques d'agrandissement ou de réduction, n.d.a.")</f>
        <v xml:space="preserve">   Parties et accessoires de projecteurs d'images fixes et d'appareils photographiques d'agrandissement ou de réduction, n.d.a.</v>
      </c>
      <c r="C6393">
        <v>50000</v>
      </c>
      <c r="D6393">
        <v>50</v>
      </c>
    </row>
    <row r="6394" spans="1:4" x14ac:dyDescent="0.25">
      <c r="A6394" t="str">
        <f>T("   950510")</f>
        <v xml:space="preserve">   950510</v>
      </c>
      <c r="B6394" t="str">
        <f>T("   Articles pour fêtes de Noël (sauf bougies et guirlandes électriques)")</f>
        <v xml:space="preserve">   Articles pour fêtes de Noël (sauf bougies et guirlandes électriques)</v>
      </c>
      <c r="C6394">
        <v>300000</v>
      </c>
      <c r="D6394">
        <v>300</v>
      </c>
    </row>
    <row r="6395" spans="1:4" x14ac:dyDescent="0.25">
      <c r="A6395" t="str">
        <f>T("IL")</f>
        <v>IL</v>
      </c>
      <c r="B6395" t="str">
        <f>T("Israël")</f>
        <v>Israël</v>
      </c>
    </row>
    <row r="6396" spans="1:4" x14ac:dyDescent="0.25">
      <c r="A6396" t="str">
        <f>T("   ZZ_Total_Produit_SH6")</f>
        <v xml:space="preserve">   ZZ_Total_Produit_SH6</v>
      </c>
      <c r="B6396" t="str">
        <f>T("   ZZ_Total_Produit_SH6")</f>
        <v xml:space="preserve">   ZZ_Total_Produit_SH6</v>
      </c>
      <c r="C6396">
        <v>378069219</v>
      </c>
      <c r="D6396">
        <v>494044.1</v>
      </c>
    </row>
    <row r="6397" spans="1:4" x14ac:dyDescent="0.25">
      <c r="A6397" t="str">
        <f>T("   020727")</f>
        <v xml:space="preserve">   020727</v>
      </c>
      <c r="B6397" t="str">
        <f>T("   Morceaux et abats comestibles de dindes et dindons [des espèces domestiques], congelés")</f>
        <v xml:space="preserve">   Morceaux et abats comestibles de dindes et dindons [des espèces domestiques], congelés</v>
      </c>
      <c r="C6397">
        <v>59587633</v>
      </c>
      <c r="D6397">
        <v>95800</v>
      </c>
    </row>
    <row r="6398" spans="1:4" x14ac:dyDescent="0.25">
      <c r="A6398" t="str">
        <f>T("   050400")</f>
        <v xml:space="preserve">   050400</v>
      </c>
      <c r="B6398"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6398">
        <v>5040000</v>
      </c>
      <c r="D6398">
        <v>4200</v>
      </c>
    </row>
    <row r="6399" spans="1:4" x14ac:dyDescent="0.25">
      <c r="A6399" t="str">
        <f>T("   382200")</f>
        <v xml:space="preserve">   382200</v>
      </c>
      <c r="B6399" t="s">
        <v>133</v>
      </c>
      <c r="C6399">
        <v>1939212</v>
      </c>
      <c r="D6399">
        <v>21</v>
      </c>
    </row>
    <row r="6400" spans="1:4" x14ac:dyDescent="0.25">
      <c r="A6400" t="str">
        <f>T("   392390")</f>
        <v xml:space="preserve">   392390</v>
      </c>
      <c r="B6400" t="s">
        <v>156</v>
      </c>
      <c r="C6400">
        <v>57349</v>
      </c>
      <c r="D6400">
        <v>250</v>
      </c>
    </row>
    <row r="6401" spans="1:4" x14ac:dyDescent="0.25">
      <c r="A6401" t="str">
        <f>T("   401220")</f>
        <v xml:space="preserve">   401220</v>
      </c>
      <c r="B6401" t="str">
        <f>T("   Pneumatiques usagés, en caoutchouc")</f>
        <v xml:space="preserve">   Pneumatiques usagés, en caoutchouc</v>
      </c>
      <c r="C6401">
        <v>3657000</v>
      </c>
      <c r="D6401">
        <v>10971</v>
      </c>
    </row>
    <row r="6402" spans="1:4" x14ac:dyDescent="0.25">
      <c r="A6402" t="str">
        <f>T("   630900")</f>
        <v xml:space="preserve">   630900</v>
      </c>
      <c r="B6402" t="s">
        <v>300</v>
      </c>
      <c r="C6402">
        <v>196002586</v>
      </c>
      <c r="D6402">
        <v>352847</v>
      </c>
    </row>
    <row r="6403" spans="1:4" x14ac:dyDescent="0.25">
      <c r="A6403" t="str">
        <f>T("   730810")</f>
        <v xml:space="preserve">   730810</v>
      </c>
      <c r="B6403" t="str">
        <f>T("   Ponts et éléments de ponts, en fer ou en acier")</f>
        <v xml:space="preserve">   Ponts et éléments de ponts, en fer ou en acier</v>
      </c>
      <c r="C6403">
        <v>65766527</v>
      </c>
      <c r="D6403">
        <v>10750</v>
      </c>
    </row>
    <row r="6404" spans="1:4" x14ac:dyDescent="0.25">
      <c r="A6404" t="str">
        <f>T("   730820")</f>
        <v xml:space="preserve">   730820</v>
      </c>
      <c r="B6404" t="str">
        <f>T("   Tours et pylônes, en fer ou en acier")</f>
        <v xml:space="preserve">   Tours et pylônes, en fer ou en acier</v>
      </c>
      <c r="C6404">
        <v>25946391</v>
      </c>
      <c r="D6404">
        <v>9500</v>
      </c>
    </row>
    <row r="6405" spans="1:4" x14ac:dyDescent="0.25">
      <c r="A6405" t="str">
        <f>T("   847149")</f>
        <v xml:space="preserve">   847149</v>
      </c>
      <c r="B6405" t="s">
        <v>459</v>
      </c>
      <c r="C6405">
        <v>465183</v>
      </c>
      <c r="D6405">
        <v>6.4</v>
      </c>
    </row>
    <row r="6406" spans="1:4" x14ac:dyDescent="0.25">
      <c r="A6406" t="str">
        <f>T("   851769")</f>
        <v xml:space="preserve">   851769</v>
      </c>
      <c r="B6406" t="s">
        <v>481</v>
      </c>
      <c r="C6406">
        <v>1507874</v>
      </c>
      <c r="D6406">
        <v>22.7</v>
      </c>
    </row>
    <row r="6407" spans="1:4" x14ac:dyDescent="0.25">
      <c r="A6407" t="str">
        <f>T("   853810")</f>
        <v xml:space="preserve">   853810</v>
      </c>
      <c r="B6407" t="str">
        <f>T("   Tableaux, panneaux, consoles, pupitres, armoires et autres supports pour articles du n° 8537, dépourvus de leurs appareils")</f>
        <v xml:space="preserve">   Tableaux, panneaux, consoles, pupitres, armoires et autres supports pour articles du n° 8537, dépourvus de leurs appareils</v>
      </c>
      <c r="C6407">
        <v>6531270</v>
      </c>
      <c r="D6407">
        <v>560</v>
      </c>
    </row>
    <row r="6408" spans="1:4" x14ac:dyDescent="0.25">
      <c r="A6408" t="str">
        <f>T("   854419")</f>
        <v xml:space="preserve">   854419</v>
      </c>
      <c r="B6408" t="str">
        <f>T("   Fils pour bobinages pour l'électricité, autres qu'en cuivre, isolés")</f>
        <v xml:space="preserve">   Fils pour bobinages pour l'électricité, autres qu'en cuivre, isolés</v>
      </c>
      <c r="C6408">
        <v>11568194</v>
      </c>
      <c r="D6408">
        <v>9116</v>
      </c>
    </row>
    <row r="6409" spans="1:4" x14ac:dyDescent="0.25">
      <c r="A6409" t="str">
        <f>T("IM")</f>
        <v>IM</v>
      </c>
      <c r="B6409" t="str">
        <f>T("ILE DE MAN")</f>
        <v>ILE DE MAN</v>
      </c>
    </row>
    <row r="6410" spans="1:4" x14ac:dyDescent="0.25">
      <c r="A6410" t="str">
        <f>T("   ZZ_Total_Produit_SH6")</f>
        <v xml:space="preserve">   ZZ_Total_Produit_SH6</v>
      </c>
      <c r="B6410" t="str">
        <f>T("   ZZ_Total_Produit_SH6")</f>
        <v xml:space="preserve">   ZZ_Total_Produit_SH6</v>
      </c>
      <c r="C6410">
        <v>67433</v>
      </c>
      <c r="D6410">
        <v>44</v>
      </c>
    </row>
    <row r="6411" spans="1:4" x14ac:dyDescent="0.25">
      <c r="A6411" t="str">
        <f>T("   300490")</f>
        <v xml:space="preserve">   300490</v>
      </c>
      <c r="B6411" t="s">
        <v>84</v>
      </c>
      <c r="C6411">
        <v>67433</v>
      </c>
      <c r="D6411">
        <v>44</v>
      </c>
    </row>
    <row r="6412" spans="1:4" x14ac:dyDescent="0.25">
      <c r="A6412" t="str">
        <f>T("IN")</f>
        <v>IN</v>
      </c>
      <c r="B6412" t="str">
        <f>T("Inde")</f>
        <v>Inde</v>
      </c>
    </row>
    <row r="6413" spans="1:4" x14ac:dyDescent="0.25">
      <c r="A6413" t="str">
        <f>T("   ZZ_Total_Produit_SH6")</f>
        <v xml:space="preserve">   ZZ_Total_Produit_SH6</v>
      </c>
      <c r="B6413" t="str">
        <f>T("   ZZ_Total_Produit_SH6")</f>
        <v xml:space="preserve">   ZZ_Total_Produit_SH6</v>
      </c>
      <c r="C6413">
        <v>163304135917.526</v>
      </c>
      <c r="D6413">
        <v>724272149.78999996</v>
      </c>
    </row>
    <row r="6414" spans="1:4" x14ac:dyDescent="0.25">
      <c r="A6414" t="str">
        <f>T("   020629")</f>
        <v xml:space="preserve">   020629</v>
      </c>
      <c r="B6414" t="str">
        <f>T("   Abats comestibles de bovins, congelés (à l'excl. des langues et des foies)")</f>
        <v xml:space="preserve">   Abats comestibles de bovins, congelés (à l'excl. des langues et des foies)</v>
      </c>
      <c r="C6414">
        <v>139950607</v>
      </c>
      <c r="D6414">
        <v>225000</v>
      </c>
    </row>
    <row r="6415" spans="1:4" x14ac:dyDescent="0.25">
      <c r="A6415" t="str">
        <f>T("   020727")</f>
        <v xml:space="preserve">   020727</v>
      </c>
      <c r="B6415" t="str">
        <f>T("   Morceaux et abats comestibles de dindes et dindons [des espèces domestiques], congelés")</f>
        <v xml:space="preserve">   Morceaux et abats comestibles de dindes et dindons [des espèces domestiques], congelés</v>
      </c>
      <c r="C6415">
        <v>15550188</v>
      </c>
      <c r="D6415">
        <v>25000</v>
      </c>
    </row>
    <row r="6416" spans="1:4" x14ac:dyDescent="0.25">
      <c r="A6416" t="str">
        <f>T("   020890")</f>
        <v xml:space="preserve">   020890</v>
      </c>
      <c r="B6416" t="s">
        <v>13</v>
      </c>
      <c r="C6416">
        <v>139950564</v>
      </c>
      <c r="D6416">
        <v>228000</v>
      </c>
    </row>
    <row r="6417" spans="1:4" x14ac:dyDescent="0.25">
      <c r="A6417" t="str">
        <f>T("   030379")</f>
        <v xml:space="preserve">   030379</v>
      </c>
      <c r="B6417" t="s">
        <v>16</v>
      </c>
      <c r="C6417">
        <v>31308800</v>
      </c>
      <c r="D6417">
        <v>139150</v>
      </c>
    </row>
    <row r="6418" spans="1:4" x14ac:dyDescent="0.25">
      <c r="A6418" t="str">
        <f>T("   040210")</f>
        <v xml:space="preserve">   040210</v>
      </c>
      <c r="B641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418">
        <v>169096211</v>
      </c>
      <c r="D6418">
        <v>146800</v>
      </c>
    </row>
    <row r="6419" spans="1:4" x14ac:dyDescent="0.25">
      <c r="A6419" t="str">
        <f>T("   040510")</f>
        <v xml:space="preserve">   040510</v>
      </c>
      <c r="B6419" t="str">
        <f>T("   Beurre (sauf beurre déshydraté et ghee)")</f>
        <v xml:space="preserve">   Beurre (sauf beurre déshydraté et ghee)</v>
      </c>
      <c r="C6419">
        <v>120000</v>
      </c>
      <c r="D6419">
        <v>696</v>
      </c>
    </row>
    <row r="6420" spans="1:4" x14ac:dyDescent="0.25">
      <c r="A6420" t="str">
        <f>T("   070320")</f>
        <v xml:space="preserve">   070320</v>
      </c>
      <c r="B6420" t="str">
        <f>T("   Aulx, à l'état frais ou réfrigéré")</f>
        <v xml:space="preserve">   Aulx, à l'état frais ou réfrigéré</v>
      </c>
      <c r="C6420">
        <v>4369349</v>
      </c>
      <c r="D6420">
        <v>26170</v>
      </c>
    </row>
    <row r="6421" spans="1:4" x14ac:dyDescent="0.25">
      <c r="A6421" t="str">
        <f>T("   090111")</f>
        <v xml:space="preserve">   090111</v>
      </c>
      <c r="B6421" t="str">
        <f>T("   Café, non torréfié, non décaféiné")</f>
        <v xml:space="preserve">   Café, non torréfié, non décaféiné</v>
      </c>
      <c r="C6421">
        <v>24815398</v>
      </c>
      <c r="D6421">
        <v>68857</v>
      </c>
    </row>
    <row r="6422" spans="1:4" x14ac:dyDescent="0.25">
      <c r="A6422" t="str">
        <f>T("   090190")</f>
        <v xml:space="preserve">   090190</v>
      </c>
      <c r="B6422" t="str">
        <f>T("   Coques et pellicules de café; succédanés du café contenant du café, quelles que soient les proportions du mélange")</f>
        <v xml:space="preserve">   Coques et pellicules de café; succédanés du café contenant du café, quelles que soient les proportions du mélange</v>
      </c>
      <c r="C6422">
        <v>16689109</v>
      </c>
      <c r="D6422">
        <v>44324</v>
      </c>
    </row>
    <row r="6423" spans="1:4" x14ac:dyDescent="0.25">
      <c r="A6423" t="str">
        <f>T("   090210")</f>
        <v xml:space="preserve">   090210</v>
      </c>
      <c r="B6423" t="str">
        <f>T("   Thé vert [thé non fermenté], présenté en emballages immédiats d'un contenu &lt;= 3 kg")</f>
        <v xml:space="preserve">   Thé vert [thé non fermenté], présenté en emballages immédiats d'un contenu &lt;= 3 kg</v>
      </c>
      <c r="C6423">
        <v>7256000</v>
      </c>
      <c r="D6423">
        <v>16170</v>
      </c>
    </row>
    <row r="6424" spans="1:4" x14ac:dyDescent="0.25">
      <c r="A6424" t="str">
        <f>T("   090220")</f>
        <v xml:space="preserve">   090220</v>
      </c>
      <c r="B6424" t="str">
        <f>T("   Thé vert [thé non fermenté], présenté en emballages immédiats d'un contenu &gt; 3 kg")</f>
        <v xml:space="preserve">   Thé vert [thé non fermenté], présenté en emballages immédiats d'un contenu &gt; 3 kg</v>
      </c>
      <c r="C6424">
        <v>21821726</v>
      </c>
      <c r="D6424">
        <v>25164</v>
      </c>
    </row>
    <row r="6425" spans="1:4" x14ac:dyDescent="0.25">
      <c r="A6425" t="str">
        <f>T("   090240")</f>
        <v xml:space="preserve">   090240</v>
      </c>
      <c r="B6425" t="s">
        <v>28</v>
      </c>
      <c r="C6425">
        <v>19492552</v>
      </c>
      <c r="D6425">
        <v>40744</v>
      </c>
    </row>
    <row r="6426" spans="1:4" x14ac:dyDescent="0.25">
      <c r="A6426" t="str">
        <f>T("   091099")</f>
        <v xml:space="preserve">   091099</v>
      </c>
      <c r="B6426" t="s">
        <v>29</v>
      </c>
      <c r="C6426">
        <v>1593789</v>
      </c>
      <c r="D6426">
        <v>3615</v>
      </c>
    </row>
    <row r="6427" spans="1:4" x14ac:dyDescent="0.25">
      <c r="A6427" t="str">
        <f>T("   100110")</f>
        <v xml:space="preserve">   100110</v>
      </c>
      <c r="B6427" t="str">
        <f>T("   Froment [blé] dur")</f>
        <v xml:space="preserve">   Froment [blé] dur</v>
      </c>
      <c r="C6427">
        <v>900000</v>
      </c>
      <c r="D6427">
        <v>6000</v>
      </c>
    </row>
    <row r="6428" spans="1:4" x14ac:dyDescent="0.25">
      <c r="A6428" t="str">
        <f>T("   100590")</f>
        <v xml:space="preserve">   100590</v>
      </c>
      <c r="B6428" t="str">
        <f>T("   Maïs (autre que de semence)")</f>
        <v xml:space="preserve">   Maïs (autre que de semence)</v>
      </c>
      <c r="C6428">
        <v>5626225</v>
      </c>
      <c r="D6428">
        <v>16850</v>
      </c>
    </row>
    <row r="6429" spans="1:4" x14ac:dyDescent="0.25">
      <c r="A6429" t="str">
        <f>T("   100610")</f>
        <v xml:space="preserve">   100610</v>
      </c>
      <c r="B6429" t="str">
        <f>T("   Riz en paille [riz paddy]")</f>
        <v xml:space="preserve">   Riz en paille [riz paddy]</v>
      </c>
      <c r="C6429">
        <v>148670767</v>
      </c>
      <c r="D6429">
        <v>1645100</v>
      </c>
    </row>
    <row r="6430" spans="1:4" x14ac:dyDescent="0.25">
      <c r="A6430" t="str">
        <f>T("   100620")</f>
        <v xml:space="preserve">   100620</v>
      </c>
      <c r="B6430" t="str">
        <f>T("   Riz décortiqué [riz cargo ou riz brun]")</f>
        <v xml:space="preserve">   Riz décortiqué [riz cargo ou riz brun]</v>
      </c>
      <c r="C6430">
        <v>12578132053.447001</v>
      </c>
      <c r="D6430">
        <v>37551915</v>
      </c>
    </row>
    <row r="6431" spans="1:4" x14ac:dyDescent="0.25">
      <c r="A6431" t="str">
        <f>T("   100630")</f>
        <v xml:space="preserve">   100630</v>
      </c>
      <c r="B6431" t="str">
        <f>T("   Riz semi-blanchi ou blanchi, même poli ou glacé")</f>
        <v xml:space="preserve">   Riz semi-blanchi ou blanchi, même poli ou glacé</v>
      </c>
      <c r="C6431">
        <v>106056121331.991</v>
      </c>
      <c r="D6431">
        <v>398931080</v>
      </c>
    </row>
    <row r="6432" spans="1:4" x14ac:dyDescent="0.25">
      <c r="A6432" t="str">
        <f>T("   100640")</f>
        <v xml:space="preserve">   100640</v>
      </c>
      <c r="B6432" t="str">
        <f>T("   Riz en brisures")</f>
        <v xml:space="preserve">   Riz en brisures</v>
      </c>
      <c r="C6432">
        <v>32675179849.018002</v>
      </c>
      <c r="D6432">
        <v>270335740</v>
      </c>
    </row>
    <row r="6433" spans="1:4" x14ac:dyDescent="0.25">
      <c r="A6433" t="str">
        <f>T("   110100")</f>
        <v xml:space="preserve">   110100</v>
      </c>
      <c r="B6433" t="str">
        <f>T("   Farines de froment [blé] ou de méteil")</f>
        <v xml:space="preserve">   Farines de froment [blé] ou de méteil</v>
      </c>
      <c r="C6433">
        <v>19207480.934999999</v>
      </c>
      <c r="D6433">
        <v>72000</v>
      </c>
    </row>
    <row r="6434" spans="1:4" x14ac:dyDescent="0.25">
      <c r="A6434" t="str">
        <f>T("   110311")</f>
        <v xml:space="preserve">   110311</v>
      </c>
      <c r="B6434" t="str">
        <f>T("   Gruaux et semoules de froment [blé]")</f>
        <v xml:space="preserve">   Gruaux et semoules de froment [blé]</v>
      </c>
      <c r="C6434">
        <v>24724100</v>
      </c>
      <c r="D6434">
        <v>210000</v>
      </c>
    </row>
    <row r="6435" spans="1:4" x14ac:dyDescent="0.25">
      <c r="A6435" t="str">
        <f>T("   151190")</f>
        <v xml:space="preserve">   151190</v>
      </c>
      <c r="B6435" t="str">
        <f>T("   Huile de palme et ses fractions, même raffinées, mais non chimiquement modifiées (à l'excl. de l'huile de palme brute)")</f>
        <v xml:space="preserve">   Huile de palme et ses fractions, même raffinées, mais non chimiquement modifiées (à l'excl. de l'huile de palme brute)</v>
      </c>
      <c r="C6435">
        <v>164522858.13499999</v>
      </c>
      <c r="D6435">
        <v>440000</v>
      </c>
    </row>
    <row r="6436" spans="1:4" x14ac:dyDescent="0.25">
      <c r="A6436" t="str">
        <f>T("   151620")</f>
        <v xml:space="preserve">   151620</v>
      </c>
      <c r="B643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436">
        <v>82501003</v>
      </c>
      <c r="D6436">
        <v>315672</v>
      </c>
    </row>
    <row r="6437" spans="1:4" x14ac:dyDescent="0.25">
      <c r="A6437" t="str">
        <f>T("   160413")</f>
        <v xml:space="preserve">   160413</v>
      </c>
      <c r="B643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437">
        <v>4369198</v>
      </c>
      <c r="D6437">
        <v>27625</v>
      </c>
    </row>
    <row r="6438" spans="1:4" x14ac:dyDescent="0.25">
      <c r="A6438" t="str">
        <f>T("   170191")</f>
        <v xml:space="preserve">   170191</v>
      </c>
      <c r="B6438" t="str">
        <f>T("   Sucres de canne ou de betterave, à l'état solide, additionnés d'aromatisants ou de colorants")</f>
        <v xml:space="preserve">   Sucres de canne ou de betterave, à l'état solide, additionnés d'aromatisants ou de colorants</v>
      </c>
      <c r="C6438">
        <v>30584135</v>
      </c>
      <c r="D6438">
        <v>164227</v>
      </c>
    </row>
    <row r="6439" spans="1:4" x14ac:dyDescent="0.25">
      <c r="A6439" t="str">
        <f>T("   170390")</f>
        <v xml:space="preserve">   170390</v>
      </c>
      <c r="B6439" t="str">
        <f>T("   Mélasses de betterave, résultant de l'extraction ou du raffinage du sucre de betterave")</f>
        <v xml:space="preserve">   Mélasses de betterave, résultant de l'extraction ou du raffinage du sucre de betterave</v>
      </c>
      <c r="C6439">
        <v>239687</v>
      </c>
      <c r="D6439">
        <v>600</v>
      </c>
    </row>
    <row r="6440" spans="1:4" x14ac:dyDescent="0.25">
      <c r="A6440" t="str">
        <f>T("   170490")</f>
        <v xml:space="preserve">   170490</v>
      </c>
      <c r="B6440" t="str">
        <f>T("   Sucreries sans cacao, y.c. le chocolat blanc (à l'excl. des gommes à mâcher)")</f>
        <v xml:space="preserve">   Sucreries sans cacao, y.c. le chocolat blanc (à l'excl. des gommes à mâcher)</v>
      </c>
      <c r="C6440">
        <v>167556710</v>
      </c>
      <c r="D6440">
        <v>844843.6</v>
      </c>
    </row>
    <row r="6441" spans="1:4" x14ac:dyDescent="0.25">
      <c r="A6441" t="str">
        <f>T("   180610")</f>
        <v xml:space="preserve">   180610</v>
      </c>
      <c r="B6441" t="str">
        <f>T("   Poudre de cacao, additionnée de sucre ou d'autres édulcorants")</f>
        <v xml:space="preserve">   Poudre de cacao, additionnée de sucre ou d'autres édulcorants</v>
      </c>
      <c r="C6441">
        <v>23338085</v>
      </c>
      <c r="D6441">
        <v>62040</v>
      </c>
    </row>
    <row r="6442" spans="1:4" x14ac:dyDescent="0.25">
      <c r="A6442" t="str">
        <f>T("   190219")</f>
        <v xml:space="preserve">   190219</v>
      </c>
      <c r="B6442" t="str">
        <f>T("   PÂTES ALIMENTAIRES NON-CUITES NI FARCIES NI AUTREMENT PRÉPARÉES, NE CONTENANT PAS D'OEUFS")</f>
        <v xml:space="preserve">   PÂTES ALIMENTAIRES NON-CUITES NI FARCIES NI AUTREMENT PRÉPARÉES, NE CONTENANT PAS D'OEUFS</v>
      </c>
      <c r="C6442">
        <v>12384095</v>
      </c>
      <c r="D6442">
        <v>44160</v>
      </c>
    </row>
    <row r="6443" spans="1:4" x14ac:dyDescent="0.25">
      <c r="A6443" t="str">
        <f>T("   190230")</f>
        <v xml:space="preserve">   190230</v>
      </c>
      <c r="B6443" t="str">
        <f>T("   Pâtes alimentaires, cuites ou autrement préparées (à l'excl. des pâtes alimentaires farcies)")</f>
        <v xml:space="preserve">   Pâtes alimentaires, cuites ou autrement préparées (à l'excl. des pâtes alimentaires farcies)</v>
      </c>
      <c r="C6443">
        <v>35065000</v>
      </c>
      <c r="D6443">
        <v>141690</v>
      </c>
    </row>
    <row r="6444" spans="1:4" x14ac:dyDescent="0.25">
      <c r="A6444" t="str">
        <f>T("   190490")</f>
        <v xml:space="preserve">   190490</v>
      </c>
      <c r="B6444" t="s">
        <v>51</v>
      </c>
      <c r="C6444">
        <v>10475000</v>
      </c>
      <c r="D6444">
        <v>43068</v>
      </c>
    </row>
    <row r="6445" spans="1:4" x14ac:dyDescent="0.25">
      <c r="A6445" t="str">
        <f>T("   190531")</f>
        <v xml:space="preserve">   190531</v>
      </c>
      <c r="B6445" t="str">
        <f>T("   Biscuits additionnés d'édulcorants")</f>
        <v xml:space="preserve">   Biscuits additionnés d'édulcorants</v>
      </c>
      <c r="C6445">
        <v>115400389</v>
      </c>
      <c r="D6445">
        <v>479973</v>
      </c>
    </row>
    <row r="6446" spans="1:4" x14ac:dyDescent="0.25">
      <c r="A6446" t="str">
        <f>T("   190590")</f>
        <v xml:space="preserve">   190590</v>
      </c>
      <c r="B6446" t="s">
        <v>52</v>
      </c>
      <c r="C6446">
        <v>70630899</v>
      </c>
      <c r="D6446">
        <v>251862</v>
      </c>
    </row>
    <row r="6447" spans="1:4" x14ac:dyDescent="0.25">
      <c r="A6447" t="str">
        <f>T("   200290")</f>
        <v xml:space="preserve">   200290</v>
      </c>
      <c r="B644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447">
        <v>38033554</v>
      </c>
      <c r="D6447">
        <v>195824</v>
      </c>
    </row>
    <row r="6448" spans="1:4" x14ac:dyDescent="0.25">
      <c r="A6448" t="str">
        <f>T("   200899")</f>
        <v xml:space="preserve">   200899</v>
      </c>
      <c r="B6448" t="s">
        <v>58</v>
      </c>
      <c r="C6448">
        <v>1685312</v>
      </c>
      <c r="D6448">
        <v>955</v>
      </c>
    </row>
    <row r="6449" spans="1:4" x14ac:dyDescent="0.25">
      <c r="A6449" t="str">
        <f>T("   200980")</f>
        <v xml:space="preserve">   200980</v>
      </c>
      <c r="B644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449">
        <v>2125000</v>
      </c>
      <c r="D6449">
        <v>16078</v>
      </c>
    </row>
    <row r="6450" spans="1:4" x14ac:dyDescent="0.25">
      <c r="A6450" t="str">
        <f>T("   210111")</f>
        <v xml:space="preserve">   210111</v>
      </c>
      <c r="B6450" t="str">
        <f>T("   Extraits, essences et concentrés de café")</f>
        <v xml:space="preserve">   Extraits, essences et concentrés de café</v>
      </c>
      <c r="C6450">
        <v>7272767</v>
      </c>
      <c r="D6450">
        <v>17280</v>
      </c>
    </row>
    <row r="6451" spans="1:4" x14ac:dyDescent="0.25">
      <c r="A6451" t="str">
        <f>T("   210112")</f>
        <v xml:space="preserve">   210112</v>
      </c>
      <c r="B6451" t="str">
        <f>T("   Préparations à base d'extraits, essences ou concentrés de café ou à base de café")</f>
        <v xml:space="preserve">   Préparations à base d'extraits, essences ou concentrés de café ou à base de café</v>
      </c>
      <c r="C6451">
        <v>5409640</v>
      </c>
      <c r="D6451">
        <v>15595</v>
      </c>
    </row>
    <row r="6452" spans="1:4" x14ac:dyDescent="0.25">
      <c r="A6452" t="str">
        <f>T("   210610")</f>
        <v xml:space="preserve">   210610</v>
      </c>
      <c r="B6452" t="str">
        <f>T("   Concentrats de protéines et substances protéiques texturées")</f>
        <v xml:space="preserve">   Concentrats de protéines et substances protéiques texturées</v>
      </c>
      <c r="C6452">
        <v>175842</v>
      </c>
      <c r="D6452">
        <v>350</v>
      </c>
    </row>
    <row r="6453" spans="1:4" x14ac:dyDescent="0.25">
      <c r="A6453" t="str">
        <f>T("   220290")</f>
        <v xml:space="preserve">   220290</v>
      </c>
      <c r="B6453" t="str">
        <f>T("   BOISSONS NON-ALCOOLIQUES (À L'EXCL. DES EAUX, DES JUS DE FRUITS OU DE LÉGUMES AINSI QUE DU LAIT)")</f>
        <v xml:space="preserve">   BOISSONS NON-ALCOOLIQUES (À L'EXCL. DES EAUX, DES JUS DE FRUITS OU DE LÉGUMES AINSI QUE DU LAIT)</v>
      </c>
      <c r="C6453">
        <v>15230734</v>
      </c>
      <c r="D6453">
        <v>121913</v>
      </c>
    </row>
    <row r="6454" spans="1:4" x14ac:dyDescent="0.25">
      <c r="A6454" t="str">
        <f>T("   220710")</f>
        <v xml:space="preserve">   220710</v>
      </c>
      <c r="B6454" t="str">
        <f>T("   Alcool éthylique non dénaturé d'un titre alcoométrique volumique &gt;= 80% vol")</f>
        <v xml:space="preserve">   Alcool éthylique non dénaturé d'un titre alcoométrique volumique &gt;= 80% vol</v>
      </c>
      <c r="C6454">
        <v>23549275</v>
      </c>
      <c r="D6454">
        <v>118240</v>
      </c>
    </row>
    <row r="6455" spans="1:4" x14ac:dyDescent="0.25">
      <c r="A6455" t="str">
        <f>T("   220830")</f>
        <v xml:space="preserve">   220830</v>
      </c>
      <c r="B6455" t="str">
        <f>T("   Whiskies")</f>
        <v xml:space="preserve">   Whiskies</v>
      </c>
      <c r="C6455">
        <v>41844883</v>
      </c>
      <c r="D6455">
        <v>202308</v>
      </c>
    </row>
    <row r="6456" spans="1:4" x14ac:dyDescent="0.25">
      <c r="A6456" t="str">
        <f>T("   220850")</f>
        <v xml:space="preserve">   220850</v>
      </c>
      <c r="B6456" t="str">
        <f>T("   Gin et genièvre")</f>
        <v xml:space="preserve">   Gin et genièvre</v>
      </c>
      <c r="C6456">
        <v>34980115</v>
      </c>
      <c r="D6456">
        <v>104580</v>
      </c>
    </row>
    <row r="6457" spans="1:4" x14ac:dyDescent="0.25">
      <c r="A6457" t="str">
        <f>T("   220860")</f>
        <v xml:space="preserve">   220860</v>
      </c>
      <c r="B6457" t="str">
        <f>T("   VODKA")</f>
        <v xml:space="preserve">   VODKA</v>
      </c>
      <c r="C6457">
        <v>2679596</v>
      </c>
      <c r="D6457">
        <v>16400</v>
      </c>
    </row>
    <row r="6458" spans="1:4" x14ac:dyDescent="0.25">
      <c r="A6458" t="str">
        <f>T("   220870")</f>
        <v xml:space="preserve">   220870</v>
      </c>
      <c r="B6458" t="str">
        <f>T("   LIQUEURS")</f>
        <v xml:space="preserve">   LIQUEURS</v>
      </c>
      <c r="C6458">
        <v>30145571</v>
      </c>
      <c r="D6458">
        <v>93890.8</v>
      </c>
    </row>
    <row r="6459" spans="1:4" x14ac:dyDescent="0.25">
      <c r="A6459" t="str">
        <f>T("   220890")</f>
        <v xml:space="preserve">   220890</v>
      </c>
      <c r="B6459" t="s">
        <v>61</v>
      </c>
      <c r="C6459">
        <v>17403163</v>
      </c>
      <c r="D6459">
        <v>60222</v>
      </c>
    </row>
    <row r="6460" spans="1:4" x14ac:dyDescent="0.25">
      <c r="A6460" t="str">
        <f>T("   250100")</f>
        <v xml:space="preserve">   250100</v>
      </c>
      <c r="B6460" t="s">
        <v>63</v>
      </c>
      <c r="C6460">
        <v>91381481</v>
      </c>
      <c r="D6460">
        <v>1931760</v>
      </c>
    </row>
    <row r="6461" spans="1:4" x14ac:dyDescent="0.25">
      <c r="A6461" t="str">
        <f>T("   250300")</f>
        <v xml:space="preserve">   250300</v>
      </c>
      <c r="B6461" t="str">
        <f>T("   Soufres de toute espèce (à l'excl. du soufre sublimé, du soufre précipité ou du soufre colloïdal)")</f>
        <v xml:space="preserve">   Soufres de toute espèce (à l'excl. du soufre sublimé, du soufre précipité ou du soufre colloïdal)</v>
      </c>
      <c r="C6461">
        <v>5899249</v>
      </c>
      <c r="D6461">
        <v>53000</v>
      </c>
    </row>
    <row r="6462" spans="1:4" x14ac:dyDescent="0.25">
      <c r="A6462" t="str">
        <f>T("   252620")</f>
        <v xml:space="preserve">   252620</v>
      </c>
      <c r="B6462" t="str">
        <f>T("   Stéatite naturelle, broyée ou pulvérisée")</f>
        <v xml:space="preserve">   Stéatite naturelle, broyée ou pulvérisée</v>
      </c>
      <c r="C6462">
        <v>4937977</v>
      </c>
      <c r="D6462">
        <v>18300</v>
      </c>
    </row>
    <row r="6463" spans="1:4" x14ac:dyDescent="0.25">
      <c r="A6463" t="str">
        <f>T("   271019")</f>
        <v xml:space="preserve">   271019</v>
      </c>
      <c r="B6463" t="str">
        <f>T("   Huiles moyennes et préparations, de pétrole ou de minéraux bitumineux, n.d.a.")</f>
        <v xml:space="preserve">   Huiles moyennes et préparations, de pétrole ou de minéraux bitumineux, n.d.a.</v>
      </c>
      <c r="C6463">
        <v>17514959</v>
      </c>
      <c r="D6463">
        <v>22596</v>
      </c>
    </row>
    <row r="6464" spans="1:4" x14ac:dyDescent="0.25">
      <c r="A6464" t="str">
        <f>T("   271099")</f>
        <v xml:space="preserve">   271099</v>
      </c>
      <c r="B6464"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6464">
        <v>3594114</v>
      </c>
      <c r="D6464">
        <v>16848</v>
      </c>
    </row>
    <row r="6465" spans="1:4" x14ac:dyDescent="0.25">
      <c r="A6465" t="str">
        <f>T("   280610")</f>
        <v xml:space="preserve">   280610</v>
      </c>
      <c r="B6465" t="str">
        <f>T("   Chlorure d'hydrogène [acide chlorhydrique]")</f>
        <v xml:space="preserve">   Chlorure d'hydrogène [acide chlorhydrique]</v>
      </c>
      <c r="C6465">
        <v>3466040</v>
      </c>
      <c r="D6465">
        <v>21760</v>
      </c>
    </row>
    <row r="6466" spans="1:4" x14ac:dyDescent="0.25">
      <c r="A6466" t="str">
        <f>T("   281511")</f>
        <v xml:space="preserve">   281511</v>
      </c>
      <c r="B6466" t="str">
        <f>T("   Hydroxyde de sodium [soude caustique], solide")</f>
        <v xml:space="preserve">   Hydroxyde de sodium [soude caustique], solide</v>
      </c>
      <c r="C6466">
        <v>6809225</v>
      </c>
      <c r="D6466">
        <v>25000</v>
      </c>
    </row>
    <row r="6467" spans="1:4" x14ac:dyDescent="0.25">
      <c r="A6467" t="str">
        <f>T("   284910")</f>
        <v xml:space="preserve">   284910</v>
      </c>
      <c r="B6467" t="str">
        <f>T("   Carbure de calcium, de constitution chimique définie ou non")</f>
        <v xml:space="preserve">   Carbure de calcium, de constitution chimique définie ou non</v>
      </c>
      <c r="C6467">
        <v>11747503</v>
      </c>
      <c r="D6467">
        <v>21300</v>
      </c>
    </row>
    <row r="6468" spans="1:4" x14ac:dyDescent="0.25">
      <c r="A6468" t="str">
        <f>T("   290611")</f>
        <v xml:space="preserve">   290611</v>
      </c>
      <c r="B6468" t="str">
        <f>T("   Menthol")</f>
        <v xml:space="preserve">   Menthol</v>
      </c>
      <c r="C6468">
        <v>3507179</v>
      </c>
      <c r="D6468">
        <v>4176</v>
      </c>
    </row>
    <row r="6469" spans="1:4" x14ac:dyDescent="0.25">
      <c r="A6469" t="str">
        <f>T("   290729")</f>
        <v xml:space="preserve">   290729</v>
      </c>
      <c r="B6469" t="str">
        <f>T("   Polyphénols et phénols-alcools (à l'excl. du résorcinol, de l'hydroquinone, du 4,4'-isopropylidènediphénol [bisphénol A, diphénylolpropane] ainsi que des sels de ces produits)")</f>
        <v xml:space="preserve">   Polyphénols et phénols-alcools (à l'excl. du résorcinol, de l'hydroquinone, du 4,4'-isopropylidènediphénol [bisphénol A, diphénylolpropane] ainsi que des sels de ces produits)</v>
      </c>
      <c r="C6469">
        <v>8962128</v>
      </c>
      <c r="D6469">
        <v>34240</v>
      </c>
    </row>
    <row r="6470" spans="1:4" x14ac:dyDescent="0.25">
      <c r="A6470" t="str">
        <f>T("   293690")</f>
        <v xml:space="preserve">   293690</v>
      </c>
      <c r="B6470" t="str">
        <f>T("   Mélanges de provitamines ou de vitamines, même en solutions quelconques, et concentrats naturels de vitamines")</f>
        <v xml:space="preserve">   Mélanges de provitamines ou de vitamines, même en solutions quelconques, et concentrats naturels de vitamines</v>
      </c>
      <c r="C6470">
        <v>20365295</v>
      </c>
      <c r="D6470">
        <v>342</v>
      </c>
    </row>
    <row r="6471" spans="1:4" x14ac:dyDescent="0.25">
      <c r="A6471" t="str">
        <f>T("   300220")</f>
        <v xml:space="preserve">   300220</v>
      </c>
      <c r="B6471" t="str">
        <f>T("   Vaccins pour la médecine humaine")</f>
        <v xml:space="preserve">   Vaccins pour la médecine humaine</v>
      </c>
      <c r="C6471">
        <v>206473630</v>
      </c>
      <c r="D6471">
        <v>4897</v>
      </c>
    </row>
    <row r="6472" spans="1:4" x14ac:dyDescent="0.25">
      <c r="A6472" t="str">
        <f>T("   300310")</f>
        <v xml:space="preserve">   300310</v>
      </c>
      <c r="B6472" t="str">
        <f>T("   Médicaments contenant des pénicillines ou des dérivés de ces produits, à structure d'acide pénicillanique, ou des streptomycines ou des dérivés de ces produits, non présentés sous forme de doses, ni conditionnés pour la vente au détail")</f>
        <v xml:space="preserve">   Médicaments contenant des pénicillines ou des dérivés de ces produits, à structure d'acide pénicillanique, ou des streptomycines ou des dérivés de ces produits, non présentés sous forme de doses, ni conditionnés pour la vente au détail</v>
      </c>
      <c r="C6472">
        <v>25185485</v>
      </c>
      <c r="D6472">
        <v>623.4</v>
      </c>
    </row>
    <row r="6473" spans="1:4" x14ac:dyDescent="0.25">
      <c r="A6473" t="str">
        <f>T("   300390")</f>
        <v xml:space="preserve">   300390</v>
      </c>
      <c r="B6473" t="s">
        <v>77</v>
      </c>
      <c r="C6473">
        <v>7346752</v>
      </c>
      <c r="D6473">
        <v>1600</v>
      </c>
    </row>
    <row r="6474" spans="1:4" x14ac:dyDescent="0.25">
      <c r="A6474" t="str">
        <f>T("   300410")</f>
        <v xml:space="preserve">   300410</v>
      </c>
      <c r="B6474" t="s">
        <v>78</v>
      </c>
      <c r="C6474">
        <v>65054491</v>
      </c>
      <c r="D6474">
        <v>9762</v>
      </c>
    </row>
    <row r="6475" spans="1:4" x14ac:dyDescent="0.25">
      <c r="A6475" t="str">
        <f>T("   300420")</f>
        <v xml:space="preserve">   300420</v>
      </c>
      <c r="B6475" t="s">
        <v>79</v>
      </c>
      <c r="C6475">
        <v>33441</v>
      </c>
      <c r="D6475">
        <v>4018</v>
      </c>
    </row>
    <row r="6476" spans="1:4" x14ac:dyDescent="0.25">
      <c r="A6476" t="str">
        <f>T("   300439")</f>
        <v xml:space="preserve">   300439</v>
      </c>
      <c r="B6476" t="s">
        <v>81</v>
      </c>
      <c r="C6476">
        <v>338206059</v>
      </c>
      <c r="D6476">
        <v>9632</v>
      </c>
    </row>
    <row r="6477" spans="1:4" x14ac:dyDescent="0.25">
      <c r="A6477" t="str">
        <f>T("   300490")</f>
        <v xml:space="preserve">   300490</v>
      </c>
      <c r="B6477" t="s">
        <v>84</v>
      </c>
      <c r="C6477">
        <v>2265457040</v>
      </c>
      <c r="D6477">
        <v>190349.11</v>
      </c>
    </row>
    <row r="6478" spans="1:4" x14ac:dyDescent="0.25">
      <c r="A6478" t="str">
        <f>T("   300590")</f>
        <v xml:space="preserve">   300590</v>
      </c>
      <c r="B6478" t="s">
        <v>85</v>
      </c>
      <c r="C6478">
        <v>226595</v>
      </c>
      <c r="D6478">
        <v>15</v>
      </c>
    </row>
    <row r="6479" spans="1:4" x14ac:dyDescent="0.25">
      <c r="A6479" t="str">
        <f>T("   300610")</f>
        <v xml:space="preserve">   300610</v>
      </c>
      <c r="B6479" t="s">
        <v>86</v>
      </c>
      <c r="C6479">
        <v>12257984</v>
      </c>
      <c r="D6479">
        <v>269.60000000000002</v>
      </c>
    </row>
    <row r="6480" spans="1:4" x14ac:dyDescent="0.25">
      <c r="A6480" t="str">
        <f>T("   300660")</f>
        <v xml:space="preserve">   300660</v>
      </c>
      <c r="B6480"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6480">
        <v>8077522</v>
      </c>
      <c r="D6480">
        <v>279</v>
      </c>
    </row>
    <row r="6481" spans="1:4" x14ac:dyDescent="0.25">
      <c r="A6481" t="str">
        <f>T("   320490")</f>
        <v xml:space="preserve">   320490</v>
      </c>
      <c r="B6481" t="str">
        <f>T("   Produits organiques synthétiques des types utilisés comme luminophores, même de constitution chimique définie")</f>
        <v xml:space="preserve">   Produits organiques synthétiques des types utilisés comme luminophores, même de constitution chimique définie</v>
      </c>
      <c r="C6481">
        <v>12047251</v>
      </c>
      <c r="D6481">
        <v>2580</v>
      </c>
    </row>
    <row r="6482" spans="1:4" x14ac:dyDescent="0.25">
      <c r="A6482" t="str">
        <f>T("   320820")</f>
        <v xml:space="preserve">   320820</v>
      </c>
      <c r="B6482" t="s">
        <v>101</v>
      </c>
      <c r="C6482">
        <v>101121482</v>
      </c>
      <c r="D6482">
        <v>96075</v>
      </c>
    </row>
    <row r="6483" spans="1:4" x14ac:dyDescent="0.25">
      <c r="A6483" t="str">
        <f>T("   320890")</f>
        <v xml:space="preserve">   320890</v>
      </c>
      <c r="B6483" t="s">
        <v>102</v>
      </c>
      <c r="C6483">
        <v>38329055</v>
      </c>
      <c r="D6483">
        <v>7717</v>
      </c>
    </row>
    <row r="6484" spans="1:4" x14ac:dyDescent="0.25">
      <c r="A6484" t="str">
        <f>T("   320910")</f>
        <v xml:space="preserve">   320910</v>
      </c>
      <c r="B6484" t="str">
        <f>T("   Peintures et vernis à base de polymères acryliques ou vinyliques, dispersés ou dissous dans un milieu aqueux")</f>
        <v xml:space="preserve">   Peintures et vernis à base de polymères acryliques ou vinyliques, dispersés ou dissous dans un milieu aqueux</v>
      </c>
      <c r="C6484">
        <v>51419550</v>
      </c>
      <c r="D6484">
        <v>9836</v>
      </c>
    </row>
    <row r="6485" spans="1:4" x14ac:dyDescent="0.25">
      <c r="A6485" t="str">
        <f>T("   321590")</f>
        <v xml:space="preserve">   321590</v>
      </c>
      <c r="B6485" t="str">
        <f>T("   Encres à écrire et à dessiner, même concentrées ou sous formes solides")</f>
        <v xml:space="preserve">   Encres à écrire et à dessiner, même concentrées ou sous formes solides</v>
      </c>
      <c r="C6485">
        <v>676727</v>
      </c>
      <c r="D6485">
        <v>108</v>
      </c>
    </row>
    <row r="6486" spans="1:4" x14ac:dyDescent="0.25">
      <c r="A6486" t="str">
        <f>T("   330210")</f>
        <v xml:space="preserve">   330210</v>
      </c>
      <c r="B6486"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486">
        <v>1072774</v>
      </c>
      <c r="D6486">
        <v>436.4</v>
      </c>
    </row>
    <row r="6487" spans="1:4" x14ac:dyDescent="0.25">
      <c r="A6487" t="str">
        <f>T("   330290")</f>
        <v xml:space="preserve">   330290</v>
      </c>
      <c r="B6487" t="s">
        <v>105</v>
      </c>
      <c r="C6487">
        <v>630614</v>
      </c>
      <c r="D6487">
        <v>780</v>
      </c>
    </row>
    <row r="6488" spans="1:4" x14ac:dyDescent="0.25">
      <c r="A6488" t="str">
        <f>T("   330300")</f>
        <v xml:space="preserve">   330300</v>
      </c>
      <c r="B648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488">
        <v>1770558</v>
      </c>
      <c r="D6488">
        <v>703</v>
      </c>
    </row>
    <row r="6489" spans="1:4" x14ac:dyDescent="0.25">
      <c r="A6489" t="str">
        <f>T("   330499")</f>
        <v xml:space="preserve">   330499</v>
      </c>
      <c r="B6489" t="s">
        <v>106</v>
      </c>
      <c r="C6489">
        <v>14731357</v>
      </c>
      <c r="D6489">
        <v>28834.5</v>
      </c>
    </row>
    <row r="6490" spans="1:4" x14ac:dyDescent="0.25">
      <c r="A6490" t="str">
        <f>T("   330610")</f>
        <v xml:space="preserve">   330610</v>
      </c>
      <c r="B6490" t="str">
        <f>T("   Dentifrices, préparés, même des types utilisés par les dentistes")</f>
        <v xml:space="preserve">   Dentifrices, préparés, même des types utilisés par les dentistes</v>
      </c>
      <c r="C6490">
        <v>8562774</v>
      </c>
      <c r="D6490">
        <v>19982</v>
      </c>
    </row>
    <row r="6491" spans="1:4" x14ac:dyDescent="0.25">
      <c r="A6491" t="str">
        <f>T("   330749")</f>
        <v xml:space="preserve">   330749</v>
      </c>
      <c r="B6491"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491">
        <v>2259900</v>
      </c>
      <c r="D6491">
        <v>3703</v>
      </c>
    </row>
    <row r="6492" spans="1:4" x14ac:dyDescent="0.25">
      <c r="A6492" t="str">
        <f>T("   340111")</f>
        <v xml:space="preserve">   340111</v>
      </c>
      <c r="B6492" t="s">
        <v>107</v>
      </c>
      <c r="C6492">
        <v>33866106</v>
      </c>
      <c r="D6492">
        <v>58927</v>
      </c>
    </row>
    <row r="6493" spans="1:4" x14ac:dyDescent="0.25">
      <c r="A6493" t="str">
        <f>T("   340119")</f>
        <v xml:space="preserve">   340119</v>
      </c>
      <c r="B6493" t="s">
        <v>108</v>
      </c>
      <c r="C6493">
        <v>8740000</v>
      </c>
      <c r="D6493">
        <v>43580</v>
      </c>
    </row>
    <row r="6494" spans="1:4" x14ac:dyDescent="0.25">
      <c r="A6494" t="str">
        <f>T("   340290")</f>
        <v xml:space="preserve">   340290</v>
      </c>
      <c r="B6494" t="s">
        <v>110</v>
      </c>
      <c r="C6494">
        <v>3854010</v>
      </c>
      <c r="D6494">
        <v>10093</v>
      </c>
    </row>
    <row r="6495" spans="1:4" x14ac:dyDescent="0.25">
      <c r="A6495" t="str">
        <f>T("   350520")</f>
        <v xml:space="preserve">   350520</v>
      </c>
      <c r="B6495"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6495">
        <v>399642</v>
      </c>
      <c r="D6495">
        <v>500</v>
      </c>
    </row>
    <row r="6496" spans="1:4" x14ac:dyDescent="0.25">
      <c r="A6496" t="str">
        <f>T("   360500")</f>
        <v xml:space="preserve">   360500</v>
      </c>
      <c r="B6496" t="str">
        <f>T("   Allumettes (autres que les articles de pyrotechnie du n° 3604)")</f>
        <v xml:space="preserve">   Allumettes (autres que les articles de pyrotechnie du n° 3604)</v>
      </c>
      <c r="C6496">
        <v>135566912</v>
      </c>
      <c r="D6496">
        <v>409252</v>
      </c>
    </row>
    <row r="6497" spans="1:4" x14ac:dyDescent="0.25">
      <c r="A6497" t="str">
        <f>T("   370310")</f>
        <v xml:space="preserve">   370310</v>
      </c>
      <c r="B6497" t="str">
        <f>T("   Papiers, cartons et textiles, photographiques, sensibilisés, non impressionnés, en rouleaux, d'une largeur &gt; 610 mm")</f>
        <v xml:space="preserve">   Papiers, cartons et textiles, photographiques, sensibilisés, non impressionnés, en rouleaux, d'une largeur &gt; 610 mm</v>
      </c>
      <c r="C6497">
        <v>22064</v>
      </c>
      <c r="D6497">
        <v>31</v>
      </c>
    </row>
    <row r="6498" spans="1:4" x14ac:dyDescent="0.25">
      <c r="A6498" t="str">
        <f>T("   370400")</f>
        <v xml:space="preserve">   370400</v>
      </c>
      <c r="B6498" t="str">
        <f>T("   PLAQUES, PELLICULES, FILMS, PAPIERS, CARTONS ET TEXTILES, PHOTOGRAPHIQUES, IMPRESSIONNÉS MAIS NON-DÉVELOPPÉS")</f>
        <v xml:space="preserve">   PLAQUES, PELLICULES, FILMS, PAPIERS, CARTONS ET TEXTILES, PHOTOGRAPHIQUES, IMPRESSIONNÉS MAIS NON-DÉVELOPPÉS</v>
      </c>
      <c r="C6498">
        <v>79396</v>
      </c>
      <c r="D6498">
        <v>22</v>
      </c>
    </row>
    <row r="6499" spans="1:4" x14ac:dyDescent="0.25">
      <c r="A6499" t="str">
        <f>T("   380893")</f>
        <v xml:space="preserve">   380893</v>
      </c>
      <c r="B6499" t="str">
        <f>T("   HERBICIDES, INHIBITEURS DE GERMINATION ET RÉGULATEURS DE CROISSANCE POUR PLANTES (À L'EXCL. DES MARCHANDISES DU N° 3808.50)")</f>
        <v xml:space="preserve">   HERBICIDES, INHIBITEURS DE GERMINATION ET RÉGULATEURS DE CROISSANCE POUR PLANTES (À L'EXCL. DES MARCHANDISES DU N° 3808.50)</v>
      </c>
      <c r="C6499">
        <v>248289582</v>
      </c>
      <c r="D6499">
        <v>128450</v>
      </c>
    </row>
    <row r="6500" spans="1:4" x14ac:dyDescent="0.25">
      <c r="A6500" t="str">
        <f>T("   381230")</f>
        <v xml:space="preserve">   381230</v>
      </c>
      <c r="B6500" t="str">
        <f>T("   Préparations antioxydantes et autres stabilisateurs composites pour caoutchouc ou matières plastiques")</f>
        <v xml:space="preserve">   Préparations antioxydantes et autres stabilisateurs composites pour caoutchouc ou matières plastiques</v>
      </c>
      <c r="C6500">
        <v>189572</v>
      </c>
      <c r="D6500">
        <v>122</v>
      </c>
    </row>
    <row r="6501" spans="1:4" x14ac:dyDescent="0.25">
      <c r="A6501" t="str">
        <f>T("   382200")</f>
        <v xml:space="preserve">   382200</v>
      </c>
      <c r="B6501" t="s">
        <v>133</v>
      </c>
      <c r="C6501">
        <v>31699419</v>
      </c>
      <c r="D6501">
        <v>975.4</v>
      </c>
    </row>
    <row r="6502" spans="1:4" x14ac:dyDescent="0.25">
      <c r="A6502" t="str">
        <f>T("   390210")</f>
        <v xml:space="preserve">   390210</v>
      </c>
      <c r="B6502" t="str">
        <f>T("   Polypropylène, sous formes primaires")</f>
        <v xml:space="preserve">   Polypropylène, sous formes primaires</v>
      </c>
      <c r="C6502">
        <v>64158399</v>
      </c>
      <c r="D6502">
        <v>80400</v>
      </c>
    </row>
    <row r="6503" spans="1:4" x14ac:dyDescent="0.25">
      <c r="A6503" t="str">
        <f>T("   390599")</f>
        <v xml:space="preserve">   390599</v>
      </c>
      <c r="B6503" t="s">
        <v>135</v>
      </c>
      <c r="C6503">
        <v>87431</v>
      </c>
      <c r="D6503">
        <v>500</v>
      </c>
    </row>
    <row r="6504" spans="1:4" x14ac:dyDescent="0.25">
      <c r="A6504" t="str">
        <f>T("   392329")</f>
        <v xml:space="preserve">   392329</v>
      </c>
      <c r="B6504" t="str">
        <f>T("   Sacs, sachets, pochettes et cornets, en matières plastiques (autres que les polymères de l'éthylène)")</f>
        <v xml:space="preserve">   Sacs, sachets, pochettes et cornets, en matières plastiques (autres que les polymères de l'éthylène)</v>
      </c>
      <c r="C6504">
        <v>5868207</v>
      </c>
      <c r="D6504">
        <v>11991</v>
      </c>
    </row>
    <row r="6505" spans="1:4" x14ac:dyDescent="0.25">
      <c r="A6505" t="str">
        <f>T("   392390")</f>
        <v xml:space="preserve">   392390</v>
      </c>
      <c r="B6505" t="s">
        <v>156</v>
      </c>
      <c r="C6505">
        <v>84749273</v>
      </c>
      <c r="D6505">
        <v>29388</v>
      </c>
    </row>
    <row r="6506" spans="1:4" x14ac:dyDescent="0.25">
      <c r="A6506" t="str">
        <f>T("   392490")</f>
        <v xml:space="preserve">   392490</v>
      </c>
      <c r="B6506" t="s">
        <v>157</v>
      </c>
      <c r="C6506">
        <v>7119788</v>
      </c>
      <c r="D6506">
        <v>8224</v>
      </c>
    </row>
    <row r="6507" spans="1:4" x14ac:dyDescent="0.25">
      <c r="A6507" t="str">
        <f>T("   392610")</f>
        <v xml:space="preserve">   392610</v>
      </c>
      <c r="B6507" t="str">
        <f>T("   Articles de bureau et articles scolaires, en matières plastiques, n.d.a.")</f>
        <v xml:space="preserve">   Articles de bureau et articles scolaires, en matières plastiques, n.d.a.</v>
      </c>
      <c r="C6507">
        <v>5818985</v>
      </c>
      <c r="D6507">
        <v>2203</v>
      </c>
    </row>
    <row r="6508" spans="1:4" x14ac:dyDescent="0.25">
      <c r="A6508" t="str">
        <f>T("   392640")</f>
        <v xml:space="preserve">   392640</v>
      </c>
      <c r="B6508" t="str">
        <f>T("   Statuettes et autres objets d'ornementation, en matières plastiques")</f>
        <v xml:space="preserve">   Statuettes et autres objets d'ornementation, en matières plastiques</v>
      </c>
      <c r="C6508">
        <v>478890</v>
      </c>
      <c r="D6508">
        <v>1439</v>
      </c>
    </row>
    <row r="6509" spans="1:4" x14ac:dyDescent="0.25">
      <c r="A6509" t="str">
        <f>T("   392690")</f>
        <v xml:space="preserve">   392690</v>
      </c>
      <c r="B6509" t="str">
        <f>T("   Ouvrages en matières plastiques et ouvrages en autres matières du n° 3901 à 3914, n.d.a.")</f>
        <v xml:space="preserve">   Ouvrages en matières plastiques et ouvrages en autres matières du n° 3901 à 3914, n.d.a.</v>
      </c>
      <c r="C6509">
        <v>3492442</v>
      </c>
      <c r="D6509">
        <v>2114</v>
      </c>
    </row>
    <row r="6510" spans="1:4" x14ac:dyDescent="0.25">
      <c r="A6510" t="str">
        <f>T("   400110")</f>
        <v xml:space="preserve">   400110</v>
      </c>
      <c r="B6510" t="str">
        <f>T("   Latex de caoutchouc naturel, même prévulcanisé")</f>
        <v xml:space="preserve">   Latex de caoutchouc naturel, même prévulcanisé</v>
      </c>
      <c r="C6510">
        <v>65596</v>
      </c>
      <c r="D6510">
        <v>581</v>
      </c>
    </row>
    <row r="6511" spans="1:4" x14ac:dyDescent="0.25">
      <c r="A6511" t="str">
        <f>T("   400219")</f>
        <v xml:space="preserve">   400219</v>
      </c>
      <c r="B6511" t="str">
        <f>T("   Caoutchouc styrène-butadiène [SBR] ou caoutchouc styrène-butadiène carboxylé [XSBR], sous formes primaires ou en plaques, feuilles ou bandes (à l'excl. du latex)")</f>
        <v xml:space="preserve">   Caoutchouc styrène-butadiène [SBR] ou caoutchouc styrène-butadiène carboxylé [XSBR], sous formes primaires ou en plaques, feuilles ou bandes (à l'excl. du latex)</v>
      </c>
      <c r="C6511">
        <v>782414</v>
      </c>
      <c r="D6511">
        <v>1500</v>
      </c>
    </row>
    <row r="6512" spans="1:4" x14ac:dyDescent="0.25">
      <c r="A6512" t="str">
        <f>T("   420229")</f>
        <v xml:space="preserve">   420229</v>
      </c>
      <c r="B651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512">
        <v>329390</v>
      </c>
      <c r="D6512">
        <v>923.8</v>
      </c>
    </row>
    <row r="6513" spans="1:4" x14ac:dyDescent="0.25">
      <c r="A6513" t="str">
        <f>T("   420299")</f>
        <v xml:space="preserve">   420299</v>
      </c>
      <c r="B6513" t="s">
        <v>174</v>
      </c>
      <c r="C6513">
        <v>57305</v>
      </c>
      <c r="D6513">
        <v>86</v>
      </c>
    </row>
    <row r="6514" spans="1:4" x14ac:dyDescent="0.25">
      <c r="A6514" t="str">
        <f>T("   441810")</f>
        <v xml:space="preserve">   441810</v>
      </c>
      <c r="B6514" t="str">
        <f>T("   Fenêtres, portes-fenêtres et leurs cadres et chambranles, en bois")</f>
        <v xml:space="preserve">   Fenêtres, portes-fenêtres et leurs cadres et chambranles, en bois</v>
      </c>
      <c r="C6514">
        <v>3276798</v>
      </c>
      <c r="D6514">
        <v>16438</v>
      </c>
    </row>
    <row r="6515" spans="1:4" x14ac:dyDescent="0.25">
      <c r="A6515" t="str">
        <f>T("   441820")</f>
        <v xml:space="preserve">   441820</v>
      </c>
      <c r="B6515" t="str">
        <f>T("   Portes et leurs cadres, chambranles et seuils, en bois")</f>
        <v xml:space="preserve">   Portes et leurs cadres, chambranles et seuils, en bois</v>
      </c>
      <c r="C6515">
        <v>3264340</v>
      </c>
      <c r="D6515">
        <v>17611</v>
      </c>
    </row>
    <row r="6516" spans="1:4" x14ac:dyDescent="0.25">
      <c r="A6516" t="str">
        <f>T("   442190")</f>
        <v xml:space="preserve">   442190</v>
      </c>
      <c r="B6516" t="str">
        <f>T("   Ouvrages, en bois, n.d.a.")</f>
        <v xml:space="preserve">   Ouvrages, en bois, n.d.a.</v>
      </c>
      <c r="C6516">
        <v>5346555</v>
      </c>
      <c r="D6516">
        <v>7175</v>
      </c>
    </row>
    <row r="6517" spans="1:4" x14ac:dyDescent="0.25">
      <c r="A6517" t="str">
        <f>T("   480100")</f>
        <v xml:space="preserve">   480100</v>
      </c>
      <c r="B6517"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6517">
        <v>12543529</v>
      </c>
      <c r="D6517">
        <v>34768</v>
      </c>
    </row>
    <row r="6518" spans="1:4" x14ac:dyDescent="0.25">
      <c r="A6518" t="str">
        <f>T("   480210")</f>
        <v xml:space="preserve">   480210</v>
      </c>
      <c r="B6518" t="str">
        <f>T("   Papiers et cartons formés feuille à feuille [papiers à la main], de tout format et de toute forme")</f>
        <v xml:space="preserve">   Papiers et cartons formés feuille à feuille [papiers à la main], de tout format et de toute forme</v>
      </c>
      <c r="C6518">
        <v>15985680</v>
      </c>
      <c r="D6518">
        <v>40000</v>
      </c>
    </row>
    <row r="6519" spans="1:4" x14ac:dyDescent="0.25">
      <c r="A6519" t="str">
        <f>T("   480257")</f>
        <v xml:space="preserve">   480257</v>
      </c>
      <c r="B6519" t="s">
        <v>208</v>
      </c>
      <c r="C6519">
        <v>35049081</v>
      </c>
      <c r="D6519">
        <v>78186</v>
      </c>
    </row>
    <row r="6520" spans="1:4" x14ac:dyDescent="0.25">
      <c r="A6520" t="str">
        <f>T("   480258")</f>
        <v xml:space="preserve">   480258</v>
      </c>
      <c r="B6520" t="s">
        <v>209</v>
      </c>
      <c r="C6520">
        <v>21574131</v>
      </c>
      <c r="D6520">
        <v>41469</v>
      </c>
    </row>
    <row r="6521" spans="1:4" x14ac:dyDescent="0.25">
      <c r="A6521" t="str">
        <f>T("   480419")</f>
        <v xml:space="preserve">   480419</v>
      </c>
      <c r="B6521" t="str">
        <f>T("   PAPIERS ET CARTONS POUR COUVERTURE, DITS 'KRAFTLINER', NON-COUCHÉS NI ENDUITS, EN ROULEAUX D'UNE LARGEUR &gt; 36 CM (À L'EXCL. DES PAPIERS ET CARTONS ÉCRUS AINSI QUE DES ARTICLES DU N° 4802 OU 4803)")</f>
        <v xml:space="preserve">   PAPIERS ET CARTONS POUR COUVERTURE, DITS 'KRAFTLINER', NON-COUCHÉS NI ENDUITS, EN ROULEAUX D'UNE LARGEUR &gt; 36 CM (À L'EXCL. DES PAPIERS ET CARTONS ÉCRUS AINSI QUE DES ARTICLES DU N° 4802 OU 4803)</v>
      </c>
      <c r="C6521">
        <v>15426</v>
      </c>
      <c r="D6521">
        <v>98</v>
      </c>
    </row>
    <row r="6522" spans="1:4" x14ac:dyDescent="0.25">
      <c r="A6522" t="str">
        <f>T("   480459")</f>
        <v xml:space="preserve">   480459</v>
      </c>
      <c r="B6522" t="s">
        <v>214</v>
      </c>
      <c r="C6522">
        <v>6350165</v>
      </c>
      <c r="D6522">
        <v>19938</v>
      </c>
    </row>
    <row r="6523" spans="1:4" x14ac:dyDescent="0.25">
      <c r="A6523" t="str">
        <f>T("   481039")</f>
        <v xml:space="preserve">   481039</v>
      </c>
      <c r="B6523" t="s">
        <v>224</v>
      </c>
      <c r="C6523">
        <v>6500843</v>
      </c>
      <c r="D6523">
        <v>20800</v>
      </c>
    </row>
    <row r="6524" spans="1:4" x14ac:dyDescent="0.25">
      <c r="A6524" t="str">
        <f>T("   481690")</f>
        <v xml:space="preserve">   481690</v>
      </c>
      <c r="B6524" t="s">
        <v>231</v>
      </c>
      <c r="C6524">
        <v>8976492</v>
      </c>
      <c r="D6524">
        <v>41280</v>
      </c>
    </row>
    <row r="6525" spans="1:4" x14ac:dyDescent="0.25">
      <c r="A6525" t="str">
        <f>T("   481810")</f>
        <v xml:space="preserve">   481810</v>
      </c>
      <c r="B6525" t="str">
        <f>T("   Papier hygiénique, en rouleaux d'une largeur &lt;= 36 cm")</f>
        <v xml:space="preserve">   Papier hygiénique, en rouleaux d'une largeur &lt;= 36 cm</v>
      </c>
      <c r="C6525">
        <v>1638532</v>
      </c>
      <c r="D6525">
        <v>3500</v>
      </c>
    </row>
    <row r="6526" spans="1:4" x14ac:dyDescent="0.25">
      <c r="A6526" t="str">
        <f>T("   481840")</f>
        <v xml:space="preserve">   481840</v>
      </c>
      <c r="B652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526">
        <v>15280157</v>
      </c>
      <c r="D6526">
        <v>21005</v>
      </c>
    </row>
    <row r="6527" spans="1:4" x14ac:dyDescent="0.25">
      <c r="A6527" t="str">
        <f>T("   481920")</f>
        <v xml:space="preserve">   481920</v>
      </c>
      <c r="B6527" t="str">
        <f>T("   Boîtes et cartonnages, pliants, en papier ou en carton non ondulé")</f>
        <v xml:space="preserve">   Boîtes et cartonnages, pliants, en papier ou en carton non ondulé</v>
      </c>
      <c r="C6527">
        <v>37300</v>
      </c>
      <c r="D6527">
        <v>56</v>
      </c>
    </row>
    <row r="6528" spans="1:4" x14ac:dyDescent="0.25">
      <c r="A6528" t="str">
        <f>T("   481950")</f>
        <v xml:space="preserve">   481950</v>
      </c>
      <c r="B6528" t="s">
        <v>233</v>
      </c>
      <c r="C6528">
        <v>126834</v>
      </c>
      <c r="D6528">
        <v>600</v>
      </c>
    </row>
    <row r="6529" spans="1:4" x14ac:dyDescent="0.25">
      <c r="A6529" t="str">
        <f>T("   481960")</f>
        <v xml:space="preserve">   481960</v>
      </c>
      <c r="B6529" t="str">
        <f>T("   Cartonnages de bureau, de magasin ou simil., rigides (à l'excl. des emballages)")</f>
        <v xml:space="preserve">   Cartonnages de bureau, de magasin ou simil., rigides (à l'excl. des emballages)</v>
      </c>
      <c r="C6529">
        <v>17052</v>
      </c>
      <c r="D6529">
        <v>17</v>
      </c>
    </row>
    <row r="6530" spans="1:4" x14ac:dyDescent="0.25">
      <c r="A6530" t="str">
        <f>T("   482010")</f>
        <v xml:space="preserve">   482010</v>
      </c>
      <c r="B653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530">
        <v>61739</v>
      </c>
      <c r="D6530">
        <v>53</v>
      </c>
    </row>
    <row r="6531" spans="1:4" x14ac:dyDescent="0.25">
      <c r="A6531" t="str">
        <f>T("   482090")</f>
        <v xml:space="preserve">   482090</v>
      </c>
      <c r="B6531" t="s">
        <v>234</v>
      </c>
      <c r="C6531">
        <v>552039</v>
      </c>
      <c r="D6531">
        <v>691</v>
      </c>
    </row>
    <row r="6532" spans="1:4" x14ac:dyDescent="0.25">
      <c r="A6532" t="str">
        <f>T("   482190")</f>
        <v xml:space="preserve">   482190</v>
      </c>
      <c r="B6532" t="str">
        <f>T("   ÉTIQUETTES DE TOUS GENRES, EN PAPIER OU EN CARTON, NON-IMPRIMÉES")</f>
        <v xml:space="preserve">   ÉTIQUETTES DE TOUS GENRES, EN PAPIER OU EN CARTON, NON-IMPRIMÉES</v>
      </c>
      <c r="C6532">
        <v>6560</v>
      </c>
      <c r="D6532">
        <v>24.8</v>
      </c>
    </row>
    <row r="6533" spans="1:4" x14ac:dyDescent="0.25">
      <c r="A6533" t="str">
        <f>T("   482360")</f>
        <v xml:space="preserve">   482360</v>
      </c>
      <c r="B6533" t="str">
        <f>T("   Plateaux, plats, assiettes, tasses, gobelets et articles simil., en papier ou en carton")</f>
        <v xml:space="preserve">   Plateaux, plats, assiettes, tasses, gobelets et articles simil., en papier ou en carton</v>
      </c>
      <c r="C6533">
        <v>127912</v>
      </c>
      <c r="D6533">
        <v>63</v>
      </c>
    </row>
    <row r="6534" spans="1:4" x14ac:dyDescent="0.25">
      <c r="A6534" t="str">
        <f>T("   482390")</f>
        <v xml:space="preserve">   482390</v>
      </c>
      <c r="B6534" t="s">
        <v>235</v>
      </c>
      <c r="C6534">
        <v>5541702</v>
      </c>
      <c r="D6534">
        <v>20800</v>
      </c>
    </row>
    <row r="6535" spans="1:4" x14ac:dyDescent="0.25">
      <c r="A6535" t="str">
        <f>T("   490199")</f>
        <v xml:space="preserve">   490199</v>
      </c>
      <c r="B653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535">
        <v>4775716</v>
      </c>
      <c r="D6535">
        <v>5238</v>
      </c>
    </row>
    <row r="6536" spans="1:4" x14ac:dyDescent="0.25">
      <c r="A6536" t="str">
        <f>T("   491000")</f>
        <v xml:space="preserve">   491000</v>
      </c>
      <c r="B6536" t="str">
        <f>T("   Calendriers de tous genres, imprimés, y.c. les blocs de calendriers à effeuiller")</f>
        <v xml:space="preserve">   Calendriers de tous genres, imprimés, y.c. les blocs de calendriers à effeuiller</v>
      </c>
      <c r="C6536">
        <v>1415594</v>
      </c>
      <c r="D6536">
        <v>2154.7600000000002</v>
      </c>
    </row>
    <row r="6537" spans="1:4" x14ac:dyDescent="0.25">
      <c r="A6537" t="str">
        <f>T("   491110")</f>
        <v xml:space="preserve">   491110</v>
      </c>
      <c r="B6537" t="str">
        <f>T("   Imprimés publicitaires, catalogues commerciaux et simil.")</f>
        <v xml:space="preserve">   Imprimés publicitaires, catalogues commerciaux et simil.</v>
      </c>
      <c r="C6537">
        <v>331749</v>
      </c>
      <c r="D6537">
        <v>731.4</v>
      </c>
    </row>
    <row r="6538" spans="1:4" x14ac:dyDescent="0.25">
      <c r="A6538" t="str">
        <f>T("   491199")</f>
        <v xml:space="preserve">   491199</v>
      </c>
      <c r="B6538" t="str">
        <f>T("   Imprimés, n.d.a.")</f>
        <v xml:space="preserve">   Imprimés, n.d.a.</v>
      </c>
      <c r="C6538">
        <v>169022231</v>
      </c>
      <c r="D6538">
        <v>17102</v>
      </c>
    </row>
    <row r="6539" spans="1:4" x14ac:dyDescent="0.25">
      <c r="A6539" t="str">
        <f>T("   520839")</f>
        <v xml:space="preserve">   520839</v>
      </c>
      <c r="B6539"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6539">
        <v>17000000</v>
      </c>
      <c r="D6539">
        <v>6586</v>
      </c>
    </row>
    <row r="6540" spans="1:4" x14ac:dyDescent="0.25">
      <c r="A6540" t="str">
        <f>T("   520851")</f>
        <v xml:space="preserve">   520851</v>
      </c>
      <c r="B6540" t="str">
        <f>T("   Tissus de coton, imprimés, à armure toile, contenant &gt;= 85% en poids de coton, d'un poids &lt;= 100 g/m²")</f>
        <v xml:space="preserve">   Tissus de coton, imprimés, à armure toile, contenant &gt;= 85% en poids de coton, d'un poids &lt;= 100 g/m²</v>
      </c>
      <c r="C6540">
        <v>217308630</v>
      </c>
      <c r="D6540">
        <v>270210</v>
      </c>
    </row>
    <row r="6541" spans="1:4" x14ac:dyDescent="0.25">
      <c r="A6541" t="str">
        <f>T("   520852")</f>
        <v xml:space="preserve">   520852</v>
      </c>
      <c r="B6541" t="str">
        <f>T("   Tissus de coton, imprimés, à armure toile, contenant &gt;= 85% en poids de coton, d'un poids &gt; 100 g/m² mais &lt;= 200 g/m²")</f>
        <v xml:space="preserve">   Tissus de coton, imprimés, à armure toile, contenant &gt;= 85% en poids de coton, d'un poids &gt; 100 g/m² mais &lt;= 200 g/m²</v>
      </c>
      <c r="C6541">
        <v>113773644</v>
      </c>
      <c r="D6541">
        <v>130723</v>
      </c>
    </row>
    <row r="6542" spans="1:4" x14ac:dyDescent="0.25">
      <c r="A6542" t="str">
        <f>T("   520859")</f>
        <v xml:space="preserve">   520859</v>
      </c>
      <c r="B6542" t="str">
        <f>T("   TISSUS DE COTON, IMPRIMÉS, CONTENANT &gt;= 85% EN POIDS DE COTON, D'UN POIDS &lt;= 200 G/M² (À L'EXCL. DES TISSUS À ARMURE TOILE)")</f>
        <v xml:space="preserve">   TISSUS DE COTON, IMPRIMÉS, CONTENANT &gt;= 85% EN POIDS DE COTON, D'UN POIDS &lt;= 200 G/M² (À L'EXCL. DES TISSUS À ARMURE TOILE)</v>
      </c>
      <c r="C6542">
        <v>75507370</v>
      </c>
      <c r="D6542">
        <v>95023</v>
      </c>
    </row>
    <row r="6543" spans="1:4" x14ac:dyDescent="0.25">
      <c r="A6543" t="str">
        <f>T("   520951")</f>
        <v xml:space="preserve">   520951</v>
      </c>
      <c r="B6543" t="str">
        <f>T("   Tissus de coton, imprimés, à armure toile, contenant &gt;= 85% en poids de coton, d'un poids &gt; 200 g/m²")</f>
        <v xml:space="preserve">   Tissus de coton, imprimés, à armure toile, contenant &gt;= 85% en poids de coton, d'un poids &gt; 200 g/m²</v>
      </c>
      <c r="C6543">
        <v>85010627</v>
      </c>
      <c r="D6543">
        <v>94942</v>
      </c>
    </row>
    <row r="6544" spans="1:4" x14ac:dyDescent="0.25">
      <c r="A6544" t="str">
        <f>T("   551299")</f>
        <v xml:space="preserve">   551299</v>
      </c>
      <c r="B6544"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6544">
        <v>34000000</v>
      </c>
      <c r="D6544">
        <v>28480</v>
      </c>
    </row>
    <row r="6545" spans="1:4" x14ac:dyDescent="0.25">
      <c r="A6545" t="str">
        <f>T("   551349")</f>
        <v xml:space="preserve">   551349</v>
      </c>
      <c r="B6545"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6545">
        <v>17000000</v>
      </c>
      <c r="D6545">
        <v>11271</v>
      </c>
    </row>
    <row r="6546" spans="1:4" x14ac:dyDescent="0.25">
      <c r="A6546" t="str">
        <f>T("   551511")</f>
        <v xml:space="preserve">   551511</v>
      </c>
      <c r="B6546" t="str">
        <f>T("   Tissus de fibres discontinues de polyester, contenant en prédominance, mais &lt; 85% en poids de ces fibres, mélangés principalement ou uniquement avec des fibres discontinues de viscose")</f>
        <v xml:space="preserve">   Tissus de fibres discontinues de polyester, contenant en prédominance, mais &lt; 85% en poids de ces fibres, mélangés principalement ou uniquement avec des fibres discontinues de viscose</v>
      </c>
      <c r="C6546">
        <v>17000000</v>
      </c>
      <c r="D6546">
        <v>16683</v>
      </c>
    </row>
    <row r="6547" spans="1:4" x14ac:dyDescent="0.25">
      <c r="A6547" t="str">
        <f>T("   560110")</f>
        <v xml:space="preserve">   560110</v>
      </c>
      <c r="B6547" t="str">
        <f>T("   Serviettes et tampons hygiéniques, couches pour bébés et articles hygiéniques simil., en ouates")</f>
        <v xml:space="preserve">   Serviettes et tampons hygiéniques, couches pour bébés et articles hygiéniques simil., en ouates</v>
      </c>
      <c r="C6547">
        <v>7633550</v>
      </c>
      <c r="D6547">
        <v>8911</v>
      </c>
    </row>
    <row r="6548" spans="1:4" x14ac:dyDescent="0.25">
      <c r="A6548" t="str">
        <f>T("   560129")</f>
        <v xml:space="preserve">   560129</v>
      </c>
      <c r="B6548" t="s">
        <v>261</v>
      </c>
      <c r="C6548">
        <v>1271129</v>
      </c>
      <c r="D6548">
        <v>1872</v>
      </c>
    </row>
    <row r="6549" spans="1:4" x14ac:dyDescent="0.25">
      <c r="A6549" t="str">
        <f>T("   570310")</f>
        <v xml:space="preserve">   570310</v>
      </c>
      <c r="B6549" t="str">
        <f>T("   Tapis et autres revêtements de sol, de laine ou de poils fins, touffetés, même confectionnés")</f>
        <v xml:space="preserve">   Tapis et autres revêtements de sol, de laine ou de poils fins, touffetés, même confectionnés</v>
      </c>
      <c r="C6549">
        <v>2360000</v>
      </c>
      <c r="D6549">
        <v>2585</v>
      </c>
    </row>
    <row r="6550" spans="1:4" x14ac:dyDescent="0.25">
      <c r="A6550" t="str">
        <f>T("   570500")</f>
        <v xml:space="preserve">   570500</v>
      </c>
      <c r="B6550"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550">
        <v>391346</v>
      </c>
      <c r="D6550">
        <v>1793</v>
      </c>
    </row>
    <row r="6551" spans="1:4" x14ac:dyDescent="0.25">
      <c r="A6551" t="str">
        <f>T("   580219")</f>
        <v xml:space="preserve">   580219</v>
      </c>
      <c r="B6551"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6551">
        <v>17000000</v>
      </c>
      <c r="D6551">
        <v>20161</v>
      </c>
    </row>
    <row r="6552" spans="1:4" x14ac:dyDescent="0.25">
      <c r="A6552" t="str">
        <f>T("   610290")</f>
        <v xml:space="preserve">   610290</v>
      </c>
      <c r="B6552" t="s">
        <v>279</v>
      </c>
      <c r="C6552">
        <v>2839979</v>
      </c>
      <c r="D6552">
        <v>5879</v>
      </c>
    </row>
    <row r="6553" spans="1:4" x14ac:dyDescent="0.25">
      <c r="A6553" t="str">
        <f>T("   610590")</f>
        <v xml:space="preserve">   610590</v>
      </c>
      <c r="B655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553">
        <v>218460</v>
      </c>
      <c r="D6553">
        <v>1377</v>
      </c>
    </row>
    <row r="6554" spans="1:4" x14ac:dyDescent="0.25">
      <c r="A6554" t="str">
        <f>T("   610910")</f>
        <v xml:space="preserve">   610910</v>
      </c>
      <c r="B6554" t="str">
        <f>T("   T-shirts et maillots de corps, en bonneterie, de coton,")</f>
        <v xml:space="preserve">   T-shirts et maillots de corps, en bonneterie, de coton,</v>
      </c>
      <c r="C6554">
        <v>26216516</v>
      </c>
      <c r="D6554">
        <v>57050</v>
      </c>
    </row>
    <row r="6555" spans="1:4" x14ac:dyDescent="0.25">
      <c r="A6555" t="str">
        <f>T("   610990")</f>
        <v xml:space="preserve">   610990</v>
      </c>
      <c r="B6555" t="str">
        <f>T("   T-shirts et maillots de corps, en bonneterie, de matières textiles (sauf de coton)")</f>
        <v xml:space="preserve">   T-shirts et maillots de corps, en bonneterie, de matières textiles (sauf de coton)</v>
      </c>
      <c r="C6555">
        <v>9409535</v>
      </c>
      <c r="D6555">
        <v>37597</v>
      </c>
    </row>
    <row r="6556" spans="1:4" x14ac:dyDescent="0.25">
      <c r="A6556" t="str">
        <f>T("   611610")</f>
        <v xml:space="preserve">   611610</v>
      </c>
      <c r="B6556"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6556">
        <v>49197</v>
      </c>
      <c r="D6556">
        <v>1000</v>
      </c>
    </row>
    <row r="6557" spans="1:4" x14ac:dyDescent="0.25">
      <c r="A6557" t="str">
        <f>T("   620711")</f>
        <v xml:space="preserve">   620711</v>
      </c>
      <c r="B6557" t="str">
        <f>T("   SLIPS ET CALETHONS, DE COTON, POUR HOMMES OU GARÇONNETS (AUTRES QU'EN BONNETERIE)")</f>
        <v xml:space="preserve">   SLIPS ET CALETHONS, DE COTON, POUR HOMMES OU GARÇONNETS (AUTRES QU'EN BONNETERIE)</v>
      </c>
      <c r="C6557">
        <v>6550000</v>
      </c>
      <c r="D6557">
        <v>17055</v>
      </c>
    </row>
    <row r="6558" spans="1:4" x14ac:dyDescent="0.25">
      <c r="A6558" t="str">
        <f>T("   621420")</f>
        <v xml:space="preserve">   621420</v>
      </c>
      <c r="B6558" t="str">
        <f>T("   Châles, écharpes, foulards, cache-nez, cache-col, mantilles, voiles et voilettes et articles simil., de laine ou poils fins (autres qu'en bonneterie)")</f>
        <v xml:space="preserve">   Châles, écharpes, foulards, cache-nez, cache-col, mantilles, voiles et voilettes et articles simil., de laine ou poils fins (autres qu'en bonneterie)</v>
      </c>
      <c r="C6558">
        <v>136439</v>
      </c>
      <c r="D6558">
        <v>67</v>
      </c>
    </row>
    <row r="6559" spans="1:4" x14ac:dyDescent="0.25">
      <c r="A6559" t="str">
        <f>T("   630229")</f>
        <v xml:space="preserve">   630229</v>
      </c>
      <c r="B6559"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559">
        <v>1464312</v>
      </c>
      <c r="D6559">
        <v>2894</v>
      </c>
    </row>
    <row r="6560" spans="1:4" x14ac:dyDescent="0.25">
      <c r="A6560" t="str">
        <f>T("   630399")</f>
        <v xml:space="preserve">   630399</v>
      </c>
      <c r="B6560"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560">
        <v>1717741</v>
      </c>
      <c r="D6560">
        <v>1650</v>
      </c>
    </row>
    <row r="6561" spans="1:4" x14ac:dyDescent="0.25">
      <c r="A6561" t="str">
        <f>T("   630510")</f>
        <v xml:space="preserve">   630510</v>
      </c>
      <c r="B6561" t="str">
        <f>T("   Sacs et sachets d'emballage de jute ou d'autres fibres textiles libériennes du n° 5303")</f>
        <v xml:space="preserve">   Sacs et sachets d'emballage de jute ou d'autres fibres textiles libériennes du n° 5303</v>
      </c>
      <c r="C6561">
        <v>6477814</v>
      </c>
      <c r="D6561">
        <v>11780</v>
      </c>
    </row>
    <row r="6562" spans="1:4" x14ac:dyDescent="0.25">
      <c r="A6562" t="str">
        <f>T("   630533")</f>
        <v xml:space="preserve">   630533</v>
      </c>
      <c r="B6562"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562">
        <v>10462152</v>
      </c>
      <c r="D6562">
        <v>26436</v>
      </c>
    </row>
    <row r="6563" spans="1:4" x14ac:dyDescent="0.25">
      <c r="A6563" t="str">
        <f>T("   630539")</f>
        <v xml:space="preserve">   630539</v>
      </c>
      <c r="B6563"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563">
        <v>328777</v>
      </c>
      <c r="D6563">
        <v>18045</v>
      </c>
    </row>
    <row r="6564" spans="1:4" x14ac:dyDescent="0.25">
      <c r="A6564" t="str">
        <f>T("   630720")</f>
        <v xml:space="preserve">   630720</v>
      </c>
      <c r="B6564" t="str">
        <f>T("   Ceintures et gilets de sauvetage en tous types de matières textiles")</f>
        <v xml:space="preserve">   Ceintures et gilets de sauvetage en tous types de matières textiles</v>
      </c>
      <c r="C6564">
        <v>20564</v>
      </c>
      <c r="D6564">
        <v>44</v>
      </c>
    </row>
    <row r="6565" spans="1:4" x14ac:dyDescent="0.25">
      <c r="A6565" t="str">
        <f>T("   630900")</f>
        <v xml:space="preserve">   630900</v>
      </c>
      <c r="B6565" t="s">
        <v>300</v>
      </c>
      <c r="C6565">
        <v>45071408</v>
      </c>
      <c r="D6565">
        <v>81948</v>
      </c>
    </row>
    <row r="6566" spans="1:4" x14ac:dyDescent="0.25">
      <c r="A6566" t="str">
        <f>T("   650590")</f>
        <v xml:space="preserve">   650590</v>
      </c>
      <c r="B6566" t="s">
        <v>312</v>
      </c>
      <c r="C6566">
        <v>3280</v>
      </c>
      <c r="D6566">
        <v>50</v>
      </c>
    </row>
    <row r="6567" spans="1:4" x14ac:dyDescent="0.25">
      <c r="A6567" t="str">
        <f>T("   650610")</f>
        <v xml:space="preserve">   650610</v>
      </c>
      <c r="B6567" t="str">
        <f>T("   Coiffures de sécurité, même garnies")</f>
        <v xml:space="preserve">   Coiffures de sécurité, même garnies</v>
      </c>
      <c r="C6567">
        <v>839249</v>
      </c>
      <c r="D6567">
        <v>1157</v>
      </c>
    </row>
    <row r="6568" spans="1:4" x14ac:dyDescent="0.25">
      <c r="A6568" t="str">
        <f>T("   680293")</f>
        <v xml:space="preserve">   680293</v>
      </c>
      <c r="B6568"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6568">
        <v>15267337</v>
      </c>
      <c r="D6568">
        <v>48600</v>
      </c>
    </row>
    <row r="6569" spans="1:4" x14ac:dyDescent="0.25">
      <c r="A6569" t="str">
        <f>T("   680422")</f>
        <v xml:space="preserve">   680422</v>
      </c>
      <c r="B6569" t="s">
        <v>321</v>
      </c>
      <c r="C6569">
        <v>10301416</v>
      </c>
      <c r="D6569">
        <v>23662</v>
      </c>
    </row>
    <row r="6570" spans="1:4" x14ac:dyDescent="0.25">
      <c r="A6570" t="str">
        <f>T("   681019")</f>
        <v xml:space="preserve">   681019</v>
      </c>
      <c r="B6570"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6570">
        <v>2854082</v>
      </c>
      <c r="D6570">
        <v>20618</v>
      </c>
    </row>
    <row r="6571" spans="1:4" x14ac:dyDescent="0.25">
      <c r="A6571" t="str">
        <f>T("   690890")</f>
        <v xml:space="preserve">   690890</v>
      </c>
      <c r="B6571" t="s">
        <v>336</v>
      </c>
      <c r="C6571">
        <v>2784705</v>
      </c>
      <c r="D6571">
        <v>11700</v>
      </c>
    </row>
    <row r="6572" spans="1:4" x14ac:dyDescent="0.25">
      <c r="A6572" t="str">
        <f>T("   691010")</f>
        <v xml:space="preserve">   691010</v>
      </c>
      <c r="B6572" t="s">
        <v>338</v>
      </c>
      <c r="C6572">
        <v>21135006</v>
      </c>
      <c r="D6572">
        <v>69775</v>
      </c>
    </row>
    <row r="6573" spans="1:4" x14ac:dyDescent="0.25">
      <c r="A6573" t="str">
        <f>T("   691090")</f>
        <v xml:space="preserve">   691090</v>
      </c>
      <c r="B6573" t="s">
        <v>339</v>
      </c>
      <c r="C6573">
        <v>190635417</v>
      </c>
      <c r="D6573">
        <v>714813</v>
      </c>
    </row>
    <row r="6574" spans="1:4" x14ac:dyDescent="0.25">
      <c r="A6574" t="str">
        <f>T("   691490")</f>
        <v xml:space="preserve">   691490</v>
      </c>
      <c r="B6574" t="str">
        <f>T("   Ouvrages en céramique autres que la porcelaine n.d.a.")</f>
        <v xml:space="preserve">   Ouvrages en céramique autres que la porcelaine n.d.a.</v>
      </c>
      <c r="C6574">
        <v>57616374</v>
      </c>
      <c r="D6574">
        <v>234871</v>
      </c>
    </row>
    <row r="6575" spans="1:4" x14ac:dyDescent="0.25">
      <c r="A6575" t="str">
        <f>T("   700529")</f>
        <v xml:space="preserve">   700529</v>
      </c>
      <c r="B6575" t="s">
        <v>343</v>
      </c>
      <c r="C6575">
        <v>5306716</v>
      </c>
      <c r="D6575">
        <v>15107</v>
      </c>
    </row>
    <row r="6576" spans="1:4" x14ac:dyDescent="0.25">
      <c r="A6576" t="str">
        <f>T("   720839")</f>
        <v xml:space="preserve">   720839</v>
      </c>
      <c r="B6576"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6576">
        <v>18418168</v>
      </c>
      <c r="D6576">
        <v>48041</v>
      </c>
    </row>
    <row r="6577" spans="1:4" x14ac:dyDescent="0.25">
      <c r="A6577" t="str">
        <f>T("   720890")</f>
        <v xml:space="preserve">   720890</v>
      </c>
      <c r="B6577"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6577">
        <v>119113762</v>
      </c>
      <c r="D6577">
        <v>232306</v>
      </c>
    </row>
    <row r="6578" spans="1:4" x14ac:dyDescent="0.25">
      <c r="A6578" t="str">
        <f>T("   721049")</f>
        <v xml:space="preserve">   721049</v>
      </c>
      <c r="B657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578">
        <v>917206917</v>
      </c>
      <c r="D6578">
        <v>1674338</v>
      </c>
    </row>
    <row r="6579" spans="1:4" x14ac:dyDescent="0.25">
      <c r="A6579" t="str">
        <f>T("   721090")</f>
        <v xml:space="preserve">   721090</v>
      </c>
      <c r="B6579" t="s">
        <v>364</v>
      </c>
      <c r="C6579">
        <v>61245672</v>
      </c>
      <c r="D6579">
        <v>106576</v>
      </c>
    </row>
    <row r="6580" spans="1:4" x14ac:dyDescent="0.25">
      <c r="A6580" t="str">
        <f>T("   721650")</f>
        <v xml:space="preserve">   721650</v>
      </c>
      <c r="B6580"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6580">
        <v>52430366</v>
      </c>
      <c r="D6580">
        <v>201938</v>
      </c>
    </row>
    <row r="6581" spans="1:4" x14ac:dyDescent="0.25">
      <c r="A6581" t="str">
        <f>T("   721699")</f>
        <v xml:space="preserve">   721699</v>
      </c>
      <c r="B6581" t="s">
        <v>368</v>
      </c>
      <c r="C6581">
        <v>16422615</v>
      </c>
      <c r="D6581">
        <v>25678</v>
      </c>
    </row>
    <row r="6582" spans="1:4" x14ac:dyDescent="0.25">
      <c r="A6582" t="str">
        <f>T("   730429")</f>
        <v xml:space="preserve">   730429</v>
      </c>
      <c r="B6582"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6582">
        <v>7164250</v>
      </c>
      <c r="D6582">
        <v>11960</v>
      </c>
    </row>
    <row r="6583" spans="1:4" x14ac:dyDescent="0.25">
      <c r="A6583" t="str">
        <f>T("   730719")</f>
        <v xml:space="preserve">   730719</v>
      </c>
      <c r="B6583" t="str">
        <f>T("   Accessoires de tuyauterie moulés en fonte, fer ou acier (sauf fonte non-malléable)")</f>
        <v xml:space="preserve">   Accessoires de tuyauterie moulés en fonte, fer ou acier (sauf fonte non-malléable)</v>
      </c>
      <c r="C6583">
        <v>1092355</v>
      </c>
      <c r="D6583">
        <v>1825</v>
      </c>
    </row>
    <row r="6584" spans="1:4" x14ac:dyDescent="0.25">
      <c r="A6584" t="str">
        <f>T("   730820")</f>
        <v xml:space="preserve">   730820</v>
      </c>
      <c r="B6584" t="str">
        <f>T("   Tours et pylônes, en fer ou en acier")</f>
        <v xml:space="preserve">   Tours et pylônes, en fer ou en acier</v>
      </c>
      <c r="C6584">
        <v>610730904</v>
      </c>
      <c r="D6584">
        <v>452964</v>
      </c>
    </row>
    <row r="6585" spans="1:4" x14ac:dyDescent="0.25">
      <c r="A6585" t="str">
        <f>T("   730830")</f>
        <v xml:space="preserve">   730830</v>
      </c>
      <c r="B6585" t="str">
        <f>T("   Portes, fenêtres et leurs cadres et chambranles ainsi que leurs seuils, en fer ou en acier")</f>
        <v xml:space="preserve">   Portes, fenêtres et leurs cadres et chambranles ainsi que leurs seuils, en fer ou en acier</v>
      </c>
      <c r="C6585">
        <v>5483826</v>
      </c>
      <c r="D6585">
        <v>4490</v>
      </c>
    </row>
    <row r="6586" spans="1:4" x14ac:dyDescent="0.25">
      <c r="A6586" t="str">
        <f>T("   731100")</f>
        <v xml:space="preserve">   731100</v>
      </c>
      <c r="B6586"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6586">
        <v>71774038</v>
      </c>
      <c r="D6586">
        <v>202050</v>
      </c>
    </row>
    <row r="6587" spans="1:4" x14ac:dyDescent="0.25">
      <c r="A6587" t="str">
        <f>T("   731450")</f>
        <v xml:space="preserve">   731450</v>
      </c>
      <c r="B6587" t="str">
        <f>T("   Tôles et bandes déployées en fer ou en acier")</f>
        <v xml:space="preserve">   Tôles et bandes déployées en fer ou en acier</v>
      </c>
      <c r="C6587">
        <v>26204266</v>
      </c>
      <c r="D6587">
        <v>209782</v>
      </c>
    </row>
    <row r="6588" spans="1:4" x14ac:dyDescent="0.25">
      <c r="A6588" t="str">
        <f>T("   731815")</f>
        <v xml:space="preserve">   731815</v>
      </c>
      <c r="B6588" t="s">
        <v>380</v>
      </c>
      <c r="C6588">
        <v>3603326</v>
      </c>
      <c r="D6588">
        <v>2137</v>
      </c>
    </row>
    <row r="6589" spans="1:4" x14ac:dyDescent="0.25">
      <c r="A6589" t="str">
        <f>T("   732111")</f>
        <v xml:space="preserve">   732111</v>
      </c>
      <c r="B6589" t="s">
        <v>382</v>
      </c>
      <c r="C6589">
        <v>3276898</v>
      </c>
      <c r="D6589">
        <v>7894</v>
      </c>
    </row>
    <row r="6590" spans="1:4" x14ac:dyDescent="0.25">
      <c r="A6590" t="str">
        <f>T("   732394")</f>
        <v xml:space="preserve">   732394</v>
      </c>
      <c r="B6590" t="s">
        <v>389</v>
      </c>
      <c r="C6590">
        <v>1445392</v>
      </c>
      <c r="D6590">
        <v>775</v>
      </c>
    </row>
    <row r="6591" spans="1:4" x14ac:dyDescent="0.25">
      <c r="A6591" t="str">
        <f>T("   732399")</f>
        <v xml:space="preserve">   732399</v>
      </c>
      <c r="B6591" t="s">
        <v>390</v>
      </c>
      <c r="C6591">
        <v>3966590</v>
      </c>
      <c r="D6591">
        <v>8862</v>
      </c>
    </row>
    <row r="6592" spans="1:4" x14ac:dyDescent="0.25">
      <c r="A6592" t="str">
        <f>T("   732591")</f>
        <v xml:space="preserve">   732591</v>
      </c>
      <c r="B6592" t="str">
        <f>T("   Boulets et simil., pour broyeurs, moulés (sauf en fonte non malléable)")</f>
        <v xml:space="preserve">   Boulets et simil., pour broyeurs, moulés (sauf en fonte non malléable)</v>
      </c>
      <c r="C6592">
        <v>255160761</v>
      </c>
      <c r="D6592">
        <v>326099</v>
      </c>
    </row>
    <row r="6593" spans="1:4" x14ac:dyDescent="0.25">
      <c r="A6593" t="str">
        <f>T("   732599")</f>
        <v xml:space="preserve">   732599</v>
      </c>
      <c r="B6593"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6593">
        <v>67003651</v>
      </c>
      <c r="D6593">
        <v>39731</v>
      </c>
    </row>
    <row r="6594" spans="1:4" x14ac:dyDescent="0.25">
      <c r="A6594" t="str">
        <f>T("   732690")</f>
        <v xml:space="preserve">   732690</v>
      </c>
      <c r="B659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594">
        <v>534347717</v>
      </c>
      <c r="D6594">
        <v>341764</v>
      </c>
    </row>
    <row r="6595" spans="1:4" x14ac:dyDescent="0.25">
      <c r="A6595" t="str">
        <f>T("   760692")</f>
        <v xml:space="preserve">   760692</v>
      </c>
      <c r="B6595" t="str">
        <f>T("   Tôles et bandes en alliages d'aluminium, d'une épaisseur &gt; 0,2 mm, de forme autre que carrée ou rectangulaire")</f>
        <v xml:space="preserve">   Tôles et bandes en alliages d'aluminium, d'une épaisseur &gt; 0,2 mm, de forme autre que carrée ou rectangulaire</v>
      </c>
      <c r="C6595">
        <v>6158974</v>
      </c>
      <c r="D6595">
        <v>3500</v>
      </c>
    </row>
    <row r="6596" spans="1:4" x14ac:dyDescent="0.25">
      <c r="A6596" t="str">
        <f>T("   761010")</f>
        <v xml:space="preserve">   761010</v>
      </c>
      <c r="B6596" t="str">
        <f>T("   Portes, fenêtres et leurs cadres, chambranles et seuils, en aluminium (sauf pièces de garnissage)")</f>
        <v xml:space="preserve">   Portes, fenêtres et leurs cadres, chambranles et seuils, en aluminium (sauf pièces de garnissage)</v>
      </c>
      <c r="C6596">
        <v>3593349</v>
      </c>
      <c r="D6596">
        <v>10890</v>
      </c>
    </row>
    <row r="6597" spans="1:4" x14ac:dyDescent="0.25">
      <c r="A6597" t="str">
        <f>T("   790500")</f>
        <v xml:space="preserve">   790500</v>
      </c>
      <c r="B6597" t="str">
        <f>T("   TOLES, BANDES ET FEUILLES EN ZINC")</f>
        <v xml:space="preserve">   TOLES, BANDES ET FEUILLES EN ZINC</v>
      </c>
      <c r="C6597">
        <v>8856116</v>
      </c>
      <c r="D6597">
        <v>24846</v>
      </c>
    </row>
    <row r="6598" spans="1:4" x14ac:dyDescent="0.25">
      <c r="A6598" t="str">
        <f>T("   830990")</f>
        <v xml:space="preserve">   830990</v>
      </c>
      <c r="B6598"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598">
        <v>9868722</v>
      </c>
      <c r="D6598">
        <v>10903</v>
      </c>
    </row>
    <row r="6599" spans="1:4" x14ac:dyDescent="0.25">
      <c r="A6599" t="str">
        <f>T("   841381")</f>
        <v xml:space="preserve">   841381</v>
      </c>
      <c r="B6599" t="s">
        <v>420</v>
      </c>
      <c r="C6599">
        <v>258906</v>
      </c>
      <c r="D6599">
        <v>1500</v>
      </c>
    </row>
    <row r="6600" spans="1:4" x14ac:dyDescent="0.25">
      <c r="A6600" t="str">
        <f>T("   841459")</f>
        <v xml:space="preserve">   841459</v>
      </c>
      <c r="B660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6600">
        <v>5461498</v>
      </c>
      <c r="D6600">
        <v>14968</v>
      </c>
    </row>
    <row r="6601" spans="1:4" x14ac:dyDescent="0.25">
      <c r="A6601" t="str">
        <f>T("   841829")</f>
        <v xml:space="preserve">   841829</v>
      </c>
      <c r="B6601" t="str">
        <f>T("   Réfrigérateurs ménagers à absorption, non-électriques")</f>
        <v xml:space="preserve">   Réfrigérateurs ménagers à absorption, non-électriques</v>
      </c>
      <c r="C6601">
        <v>46058666</v>
      </c>
      <c r="D6601">
        <v>38287</v>
      </c>
    </row>
    <row r="6602" spans="1:4" x14ac:dyDescent="0.25">
      <c r="A6602" t="str">
        <f>T("   841850")</f>
        <v xml:space="preserve">   841850</v>
      </c>
      <c r="B6602" t="s">
        <v>427</v>
      </c>
      <c r="C6602">
        <v>86574638</v>
      </c>
      <c r="D6602">
        <v>29690</v>
      </c>
    </row>
    <row r="6603" spans="1:4" x14ac:dyDescent="0.25">
      <c r="A6603" t="str">
        <f>T("   841950")</f>
        <v xml:space="preserve">   841950</v>
      </c>
      <c r="B6603"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6603">
        <v>2641468</v>
      </c>
      <c r="D6603">
        <v>642</v>
      </c>
    </row>
    <row r="6604" spans="1:4" x14ac:dyDescent="0.25">
      <c r="A6604" t="str">
        <f>T("   842129")</f>
        <v xml:space="preserve">   842129</v>
      </c>
      <c r="B6604"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604">
        <v>308524</v>
      </c>
      <c r="D6604">
        <v>33</v>
      </c>
    </row>
    <row r="6605" spans="1:4" x14ac:dyDescent="0.25">
      <c r="A6605" t="str">
        <f>T("   842230")</f>
        <v xml:space="preserve">   842230</v>
      </c>
      <c r="B6605"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6605">
        <v>1455350</v>
      </c>
      <c r="D6605">
        <v>63</v>
      </c>
    </row>
    <row r="6606" spans="1:4" x14ac:dyDescent="0.25">
      <c r="A6606" t="str">
        <f>T("   842290")</f>
        <v xml:space="preserve">   842290</v>
      </c>
      <c r="B6606"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606">
        <v>88491</v>
      </c>
      <c r="D6606">
        <v>16.84</v>
      </c>
    </row>
    <row r="6607" spans="1:4" x14ac:dyDescent="0.25">
      <c r="A6607" t="str">
        <f>T("   842310")</f>
        <v xml:space="preserve">   842310</v>
      </c>
      <c r="B6607" t="str">
        <f>T("   Pèse-personnes, y.c. les pèse-bébés; balances de ménage")</f>
        <v xml:space="preserve">   Pèse-personnes, y.c. les pèse-bébés; balances de ménage</v>
      </c>
      <c r="C6607">
        <v>28523</v>
      </c>
      <c r="D6607">
        <v>18</v>
      </c>
    </row>
    <row r="6608" spans="1:4" x14ac:dyDescent="0.25">
      <c r="A6608" t="str">
        <f>T("   842389")</f>
        <v xml:space="preserve">   842389</v>
      </c>
      <c r="B6608" t="str">
        <f>T("   Appareils et instruments de pesage, portée &gt; 5000 kg")</f>
        <v xml:space="preserve">   Appareils et instruments de pesage, portée &gt; 5000 kg</v>
      </c>
      <c r="C6608">
        <v>19207334</v>
      </c>
      <c r="D6608">
        <v>19408</v>
      </c>
    </row>
    <row r="6609" spans="1:4" x14ac:dyDescent="0.25">
      <c r="A6609" t="str">
        <f>T("   842611")</f>
        <v xml:space="preserve">   842611</v>
      </c>
      <c r="B6609" t="str">
        <f>T("   Ponts roulants et poutres roulantes sur supports fixes")</f>
        <v xml:space="preserve">   Ponts roulants et poutres roulantes sur supports fixes</v>
      </c>
      <c r="C6609">
        <v>263088246</v>
      </c>
      <c r="D6609">
        <v>93854</v>
      </c>
    </row>
    <row r="6610" spans="1:4" x14ac:dyDescent="0.25">
      <c r="A6610" t="str">
        <f>T("   842959")</f>
        <v xml:space="preserve">   842959</v>
      </c>
      <c r="B661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610">
        <v>22794675</v>
      </c>
      <c r="D6610">
        <v>7660</v>
      </c>
    </row>
    <row r="6611" spans="1:4" x14ac:dyDescent="0.25">
      <c r="A6611" t="str">
        <f>T("   843041")</f>
        <v xml:space="preserve">   843041</v>
      </c>
      <c r="B6611" t="s">
        <v>433</v>
      </c>
      <c r="C6611">
        <v>18662000</v>
      </c>
      <c r="D6611">
        <v>25040</v>
      </c>
    </row>
    <row r="6612" spans="1:4" x14ac:dyDescent="0.25">
      <c r="A6612" t="str">
        <f>T("   843049")</f>
        <v xml:space="preserve">   843049</v>
      </c>
      <c r="B6612"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6612">
        <v>36530476</v>
      </c>
      <c r="D6612">
        <v>27377</v>
      </c>
    </row>
    <row r="6613" spans="1:4" x14ac:dyDescent="0.25">
      <c r="A6613" t="str">
        <f>T("   843280")</f>
        <v xml:space="preserve">   843280</v>
      </c>
      <c r="B6613" t="s">
        <v>434</v>
      </c>
      <c r="C6613">
        <v>95106501</v>
      </c>
      <c r="D6613">
        <v>7892</v>
      </c>
    </row>
    <row r="6614" spans="1:4" x14ac:dyDescent="0.25">
      <c r="A6614" t="str">
        <f>T("   843390")</f>
        <v xml:space="preserve">   843390</v>
      </c>
      <c r="B6614"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6614">
        <v>6548883</v>
      </c>
      <c r="D6614">
        <v>5199</v>
      </c>
    </row>
    <row r="6615" spans="1:4" x14ac:dyDescent="0.25">
      <c r="A6615" t="str">
        <f>T("   843710")</f>
        <v xml:space="preserve">   843710</v>
      </c>
      <c r="B6615" t="str">
        <f>T("   Machines pour le nettoyage, le triage ou le criblage des grains ou des légumes secs")</f>
        <v xml:space="preserve">   Machines pour le nettoyage, le triage ou le criblage des grains ou des légumes secs</v>
      </c>
      <c r="C6615">
        <v>22937053</v>
      </c>
      <c r="D6615">
        <v>6560</v>
      </c>
    </row>
    <row r="6616" spans="1:4" x14ac:dyDescent="0.25">
      <c r="A6616" t="str">
        <f>T("   843780")</f>
        <v xml:space="preserve">   843780</v>
      </c>
      <c r="B6616" t="s">
        <v>439</v>
      </c>
      <c r="C6616">
        <v>125387442</v>
      </c>
      <c r="D6616">
        <v>19553</v>
      </c>
    </row>
    <row r="6617" spans="1:4" x14ac:dyDescent="0.25">
      <c r="A6617" t="str">
        <f>T("   843880")</f>
        <v xml:space="preserve">   843880</v>
      </c>
      <c r="B6617" t="str">
        <f>T("   Machines et appareils pour la préparation ou la fabrication industrielles d'aliments ou de boissons, n.d.a.")</f>
        <v xml:space="preserve">   Machines et appareils pour la préparation ou la fabrication industrielles d'aliments ou de boissons, n.d.a.</v>
      </c>
      <c r="C6617">
        <v>30438333</v>
      </c>
      <c r="D6617">
        <v>8836</v>
      </c>
    </row>
    <row r="6618" spans="1:4" x14ac:dyDescent="0.25">
      <c r="A6618" t="str">
        <f>T("   843890")</f>
        <v xml:space="preserve">   843890</v>
      </c>
      <c r="B6618"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6618">
        <v>28731935</v>
      </c>
      <c r="D6618">
        <v>6845</v>
      </c>
    </row>
    <row r="6619" spans="1:4" x14ac:dyDescent="0.25">
      <c r="A6619" t="str">
        <f>T("   843999")</f>
        <v xml:space="preserve">   843999</v>
      </c>
      <c r="B6619" t="str">
        <f>T("   Parties de machines et appareils pour la fabrication ou le finissage de papier ou de carton, n.d.a.")</f>
        <v xml:space="preserve">   Parties de machines et appareils pour la fabrication ou le finissage de papier ou de carton, n.d.a.</v>
      </c>
      <c r="C6619">
        <v>5144725</v>
      </c>
      <c r="D6619">
        <v>2336</v>
      </c>
    </row>
    <row r="6620" spans="1:4" x14ac:dyDescent="0.25">
      <c r="A6620" t="str">
        <f>T("   844331")</f>
        <v xml:space="preserve">   844331</v>
      </c>
      <c r="B6620" t="str">
        <f>T("   MACHINES QUI ASSURENT AU MOINS DEUX DES FONCTIONS SUIVANTES: IMPRESSION, COPIE OU TRANSMISSION DE TÉLÉCOPIE, APTES À ÊTRE CONNECTÉES À UNE MACHINE AUTOMATIQUE DE TRAITEMENT DE L'INFORMATION OU À UN RÉSEAU")</f>
        <v xml:space="preserve">   MACHINES QUI ASSURENT AU MOINS DEUX DES FONCTIONS SUIVANTES: IMPRESSION, COPIE OU TRANSMISSION DE TÉLÉCOPIE, APTES À ÊTRE CONNECTÉES À UNE MACHINE AUTOMATIQUE DE TRAITEMENT DE L'INFORMATION OU À UN RÉSEAU</v>
      </c>
      <c r="C6620">
        <v>1957180</v>
      </c>
      <c r="D6620">
        <v>310</v>
      </c>
    </row>
    <row r="6621" spans="1:4" x14ac:dyDescent="0.25">
      <c r="A6621" t="str">
        <f>T("   844391")</f>
        <v xml:space="preserve">   844391</v>
      </c>
      <c r="B6621"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6621">
        <v>834474</v>
      </c>
      <c r="D6621">
        <v>192</v>
      </c>
    </row>
    <row r="6622" spans="1:4" x14ac:dyDescent="0.25">
      <c r="A6622" t="str">
        <f>T("   844832")</f>
        <v xml:space="preserve">   844832</v>
      </c>
      <c r="B6622" t="str">
        <f>T("   PARTIES ET ACCESSOIRES DE MACHINES POUR LA PRÉPARATION DES MATIÈRES TEXTILES, N.D.A. (AUTRES QUE LES GARNITURES DE CARDÉS)")</f>
        <v xml:space="preserve">   PARTIES ET ACCESSOIRES DE MACHINES POUR LA PRÉPARATION DES MATIÈRES TEXTILES, N.D.A. (AUTRES QUE LES GARNITURES DE CARDÉS)</v>
      </c>
      <c r="C6622">
        <v>35314379</v>
      </c>
      <c r="D6622">
        <v>5761</v>
      </c>
    </row>
    <row r="6623" spans="1:4" x14ac:dyDescent="0.25">
      <c r="A6623" t="str">
        <f>T("   845180")</f>
        <v xml:space="preserve">   845180</v>
      </c>
      <c r="B6623" t="s">
        <v>447</v>
      </c>
      <c r="C6623">
        <v>1418186</v>
      </c>
      <c r="D6623">
        <v>3</v>
      </c>
    </row>
    <row r="6624" spans="1:4" x14ac:dyDescent="0.25">
      <c r="A6624" t="str">
        <f>T("   847150")</f>
        <v xml:space="preserve">   847150</v>
      </c>
      <c r="B6624" t="s">
        <v>460</v>
      </c>
      <c r="C6624">
        <v>3729992</v>
      </c>
      <c r="D6624">
        <v>38</v>
      </c>
    </row>
    <row r="6625" spans="1:4" x14ac:dyDescent="0.25">
      <c r="A6625" t="str">
        <f>T("   847180")</f>
        <v xml:space="preserve">   847180</v>
      </c>
      <c r="B662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6625">
        <v>459860</v>
      </c>
      <c r="D6625">
        <v>29</v>
      </c>
    </row>
    <row r="6626" spans="1:4" x14ac:dyDescent="0.25">
      <c r="A6626" t="str">
        <f>T("   847780")</f>
        <v xml:space="preserve">   847780</v>
      </c>
      <c r="B6626"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6626">
        <v>7358741</v>
      </c>
      <c r="D6626">
        <v>11500</v>
      </c>
    </row>
    <row r="6627" spans="1:4" x14ac:dyDescent="0.25">
      <c r="A6627" t="str">
        <f>T("   847990")</f>
        <v xml:space="preserve">   847990</v>
      </c>
      <c r="B6627" t="str">
        <f>T("   Parties de machines et appareils, y.c. les appareils mécaniques, n.d.a.")</f>
        <v xml:space="preserve">   Parties de machines et appareils, y.c. les appareils mécaniques, n.d.a.</v>
      </c>
      <c r="C6627">
        <v>144699765</v>
      </c>
      <c r="D6627">
        <v>47373</v>
      </c>
    </row>
    <row r="6628" spans="1:4" x14ac:dyDescent="0.25">
      <c r="A6628" t="str">
        <f>T("   850152")</f>
        <v xml:space="preserve">   850152</v>
      </c>
      <c r="B6628" t="str">
        <f>T("   Moteurs à courant alternatif, polyphasés, puissance &gt; 750 W mais &lt;= 75 kW")</f>
        <v xml:space="preserve">   Moteurs à courant alternatif, polyphasés, puissance &gt; 750 W mais &lt;= 75 kW</v>
      </c>
      <c r="C6628">
        <v>3167829</v>
      </c>
      <c r="D6628">
        <v>460</v>
      </c>
    </row>
    <row r="6629" spans="1:4" x14ac:dyDescent="0.25">
      <c r="A6629" t="str">
        <f>T("   850211")</f>
        <v xml:space="preserve">   850211</v>
      </c>
      <c r="B6629" t="s">
        <v>470</v>
      </c>
      <c r="C6629">
        <v>186286543</v>
      </c>
      <c r="D6629">
        <v>62600</v>
      </c>
    </row>
    <row r="6630" spans="1:4" x14ac:dyDescent="0.25">
      <c r="A6630" t="str">
        <f>T("   850300")</f>
        <v xml:space="preserve">   850300</v>
      </c>
      <c r="B6630"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630">
        <v>2444381</v>
      </c>
      <c r="D6630">
        <v>172</v>
      </c>
    </row>
    <row r="6631" spans="1:4" x14ac:dyDescent="0.25">
      <c r="A6631" t="str">
        <f>T("   850490")</f>
        <v xml:space="preserve">   850490</v>
      </c>
      <c r="B6631" t="str">
        <f>T("   Parties de transformateurs, de bobines de réactance et selfs n.d.a.")</f>
        <v xml:space="preserve">   Parties de transformateurs, de bobines de réactance et selfs n.d.a.</v>
      </c>
      <c r="C6631">
        <v>49790</v>
      </c>
      <c r="D6631">
        <v>20</v>
      </c>
    </row>
    <row r="6632" spans="1:4" x14ac:dyDescent="0.25">
      <c r="A6632" t="str">
        <f>T("   850680")</f>
        <v xml:space="preserve">   850680</v>
      </c>
      <c r="B6632"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632">
        <v>6303000</v>
      </c>
      <c r="D6632">
        <v>46045</v>
      </c>
    </row>
    <row r="6633" spans="1:4" x14ac:dyDescent="0.25">
      <c r="A6633" t="str">
        <f>T("   851420")</f>
        <v xml:space="preserve">   851420</v>
      </c>
      <c r="B6633" t="str">
        <f>T("   Fours industriels ou de laboratoires fonctionnant par induction ou par pertes diélectriques")</f>
        <v xml:space="preserve">   Fours industriels ou de laboratoires fonctionnant par induction ou par pertes diélectriques</v>
      </c>
      <c r="C6633">
        <v>18611553</v>
      </c>
      <c r="D6633">
        <v>6860</v>
      </c>
    </row>
    <row r="6634" spans="1:4" x14ac:dyDescent="0.25">
      <c r="A6634" t="str">
        <f>T("   851712")</f>
        <v xml:space="preserve">   851712</v>
      </c>
      <c r="B6634" t="str">
        <f>T("   TÉLÉPHONES POUR RÉSEAUX CELLULAIRES [TÉLÉPHONES MOBILES] ET POUR AUTRES RÉSEAUX SANS FIL")</f>
        <v xml:space="preserve">   TÉLÉPHONES POUR RÉSEAUX CELLULAIRES [TÉLÉPHONES MOBILES] ET POUR AUTRES RÉSEAUX SANS FIL</v>
      </c>
      <c r="C6634">
        <v>44086658</v>
      </c>
      <c r="D6634">
        <v>13645.98</v>
      </c>
    </row>
    <row r="6635" spans="1:4" x14ac:dyDescent="0.25">
      <c r="A6635" t="str">
        <f>T("   851762")</f>
        <v xml:space="preserve">   851762</v>
      </c>
      <c r="B6635" t="s">
        <v>480</v>
      </c>
      <c r="C6635">
        <v>288107</v>
      </c>
      <c r="D6635">
        <v>45</v>
      </c>
    </row>
    <row r="6636" spans="1:4" x14ac:dyDescent="0.25">
      <c r="A6636" t="str">
        <f>T("   851769")</f>
        <v xml:space="preserve">   851769</v>
      </c>
      <c r="B6636" t="s">
        <v>481</v>
      </c>
      <c r="C6636">
        <v>889870</v>
      </c>
      <c r="D6636">
        <v>6.9</v>
      </c>
    </row>
    <row r="6637" spans="1:4" x14ac:dyDescent="0.25">
      <c r="A6637" t="str">
        <f>T("   851770")</f>
        <v xml:space="preserve">   851770</v>
      </c>
      <c r="B6637"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6637">
        <v>991752</v>
      </c>
      <c r="D6637">
        <v>372</v>
      </c>
    </row>
    <row r="6638" spans="1:4" x14ac:dyDescent="0.25">
      <c r="A6638" t="str">
        <f>T("   851780")</f>
        <v xml:space="preserve">   851780</v>
      </c>
      <c r="B6638" t="s">
        <v>482</v>
      </c>
      <c r="C6638">
        <v>1793394</v>
      </c>
      <c r="D6638">
        <v>565</v>
      </c>
    </row>
    <row r="6639" spans="1:4" x14ac:dyDescent="0.25">
      <c r="A6639" t="str">
        <f>T("   851790")</f>
        <v xml:space="preserve">   851790</v>
      </c>
      <c r="B6639" t="s">
        <v>483</v>
      </c>
      <c r="C6639">
        <v>1850464</v>
      </c>
      <c r="D6639">
        <v>591</v>
      </c>
    </row>
    <row r="6640" spans="1:4" x14ac:dyDescent="0.25">
      <c r="A6640" t="str">
        <f>T("   851829")</f>
        <v xml:space="preserve">   851829</v>
      </c>
      <c r="B6640" t="str">
        <f>T("   Haut-parleurs sans enceinte")</f>
        <v xml:space="preserve">   Haut-parleurs sans enceinte</v>
      </c>
      <c r="C6640">
        <v>599996</v>
      </c>
      <c r="D6640">
        <v>3800</v>
      </c>
    </row>
    <row r="6641" spans="1:4" x14ac:dyDescent="0.25">
      <c r="A6641" t="str">
        <f>T("   852190")</f>
        <v xml:space="preserve">   852190</v>
      </c>
      <c r="B6641" t="s">
        <v>487</v>
      </c>
      <c r="C6641">
        <v>25526718</v>
      </c>
      <c r="D6641">
        <v>18747</v>
      </c>
    </row>
    <row r="6642" spans="1:4" x14ac:dyDescent="0.25">
      <c r="A6642" t="str">
        <f>T("   852390")</f>
        <v xml:space="preserve">   852390</v>
      </c>
      <c r="B6642"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6642">
        <v>79979</v>
      </c>
      <c r="D6642">
        <v>48</v>
      </c>
    </row>
    <row r="6643" spans="1:4" x14ac:dyDescent="0.25">
      <c r="A6643" t="str">
        <f>T("   854232")</f>
        <v xml:space="preserve">   854232</v>
      </c>
      <c r="B6643" t="str">
        <f>T("   CIRCUITS INTÉGRÉS ÉLECTRONIQUES UTILISÉS COMME MÉMOIRES")</f>
        <v xml:space="preserve">   CIRCUITS INTÉGRÉS ÉLECTRONIQUES UTILISÉS COMME MÉMOIRES</v>
      </c>
      <c r="C6643">
        <v>6844977</v>
      </c>
      <c r="D6643">
        <v>50</v>
      </c>
    </row>
    <row r="6644" spans="1:4" x14ac:dyDescent="0.25">
      <c r="A6644" t="str">
        <f>T("   854390")</f>
        <v xml:space="preserve">   854390</v>
      </c>
      <c r="B6644" t="str">
        <f>T("   PARTIES DE MACHINES ET APPAREILS ÉLECTRIQUES AYANT UNE FONCTION PROPRE, N.D.A. DANS LE CHAPITRE 85")</f>
        <v xml:space="preserve">   PARTIES DE MACHINES ET APPAREILS ÉLECTRIQUES AYANT UNE FONCTION PROPRE, N.D.A. DANS LE CHAPITRE 85</v>
      </c>
      <c r="C6644">
        <v>130214</v>
      </c>
      <c r="D6644">
        <v>40</v>
      </c>
    </row>
    <row r="6645" spans="1:4" x14ac:dyDescent="0.25">
      <c r="A6645" t="str">
        <f>T("   854420")</f>
        <v xml:space="preserve">   854420</v>
      </c>
      <c r="B6645" t="str">
        <f>T("   Câbles coaxiaux et autres conducteurs électriques coaxiaux, isolés")</f>
        <v xml:space="preserve">   Câbles coaxiaux et autres conducteurs électriques coaxiaux, isolés</v>
      </c>
      <c r="C6645">
        <v>105495</v>
      </c>
      <c r="D6645">
        <v>18</v>
      </c>
    </row>
    <row r="6646" spans="1:4" x14ac:dyDescent="0.25">
      <c r="A6646" t="str">
        <f>T("   854519")</f>
        <v xml:space="preserve">   854519</v>
      </c>
      <c r="B6646" t="str">
        <f>T("   ÉLECTRODES EN GRAPHITE OU EN AUTRE CARBONE, POUR USAGES ÉLECTRIQUES (AUTRES QUE POUR FOURS)")</f>
        <v xml:space="preserve">   ÉLECTRODES EN GRAPHITE OU EN AUTRE CARBONE, POUR USAGES ÉLECTRIQUES (AUTRES QUE POUR FOURS)</v>
      </c>
      <c r="C6646">
        <v>338364</v>
      </c>
      <c r="D6646">
        <v>3035</v>
      </c>
    </row>
    <row r="6647" spans="1:4" x14ac:dyDescent="0.25">
      <c r="A6647" t="str">
        <f>T("   870190")</f>
        <v xml:space="preserve">   870190</v>
      </c>
      <c r="B6647"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647">
        <v>27755403</v>
      </c>
      <c r="D6647">
        <v>8807</v>
      </c>
    </row>
    <row r="6648" spans="1:4" x14ac:dyDescent="0.25">
      <c r="A6648" t="str">
        <f>T("   870210")</f>
        <v xml:space="preserve">   870210</v>
      </c>
      <c r="B6648" t="s">
        <v>503</v>
      </c>
      <c r="C6648">
        <v>11700099</v>
      </c>
      <c r="D6648">
        <v>3990</v>
      </c>
    </row>
    <row r="6649" spans="1:4" x14ac:dyDescent="0.25">
      <c r="A6649" t="str">
        <f>T("   870322")</f>
        <v xml:space="preserve">   870322</v>
      </c>
      <c r="B6649" t="s">
        <v>506</v>
      </c>
      <c r="C6649">
        <v>30263732</v>
      </c>
      <c r="D6649">
        <v>5712</v>
      </c>
    </row>
    <row r="6650" spans="1:4" x14ac:dyDescent="0.25">
      <c r="A6650" t="str">
        <f>T("   870421")</f>
        <v xml:space="preserve">   870421</v>
      </c>
      <c r="B6650" t="s">
        <v>512</v>
      </c>
      <c r="C6650">
        <v>125791406</v>
      </c>
      <c r="D6650">
        <v>53485</v>
      </c>
    </row>
    <row r="6651" spans="1:4" x14ac:dyDescent="0.25">
      <c r="A6651" t="str">
        <f>T("   870520")</f>
        <v xml:space="preserve">   870520</v>
      </c>
      <c r="B6651" t="str">
        <f>T("   Derricks automobiles pour le sondage ou le forage")</f>
        <v xml:space="preserve">   Derricks automobiles pour le sondage ou le forage</v>
      </c>
      <c r="C6651">
        <v>50141748</v>
      </c>
      <c r="D6651">
        <v>54060</v>
      </c>
    </row>
    <row r="6652" spans="1:4" x14ac:dyDescent="0.25">
      <c r="A6652" t="str">
        <f>T("   870829")</f>
        <v xml:space="preserve">   870829</v>
      </c>
      <c r="B6652" t="s">
        <v>519</v>
      </c>
      <c r="C6652">
        <v>673155</v>
      </c>
      <c r="D6652">
        <v>191</v>
      </c>
    </row>
    <row r="6653" spans="1:4" x14ac:dyDescent="0.25">
      <c r="A6653" t="str">
        <f>T("   870899")</f>
        <v xml:space="preserve">   870899</v>
      </c>
      <c r="B665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653">
        <v>3452150</v>
      </c>
      <c r="D6653">
        <v>1540</v>
      </c>
    </row>
    <row r="6654" spans="1:4" x14ac:dyDescent="0.25">
      <c r="A6654" t="str">
        <f>T("   871110")</f>
        <v xml:space="preserve">   871110</v>
      </c>
      <c r="B6654" t="str">
        <f>T("   Cyclomoteurs, à moteur à piston alternatif, cylindrée &lt;= 50 cm³, y.c. cycles à moteur auxiliaire")</f>
        <v xml:space="preserve">   Cyclomoteurs, à moteur à piston alternatif, cylindrée &lt;= 50 cm³, y.c. cycles à moteur auxiliaire</v>
      </c>
      <c r="C6654">
        <v>114501753</v>
      </c>
      <c r="D6654">
        <v>37580</v>
      </c>
    </row>
    <row r="6655" spans="1:4" x14ac:dyDescent="0.25">
      <c r="A6655" t="str">
        <f>T("   871120")</f>
        <v xml:space="preserve">   871120</v>
      </c>
      <c r="B6655" t="str">
        <f>T("   Motocycles à moteur à piston alternatif, cylindrée &gt; 50 cm³ mais &lt;= 250 cm³")</f>
        <v xml:space="preserve">   Motocycles à moteur à piston alternatif, cylindrée &gt; 50 cm³ mais &lt;= 250 cm³</v>
      </c>
      <c r="C6655">
        <v>390008290</v>
      </c>
      <c r="D6655">
        <v>202189</v>
      </c>
    </row>
    <row r="6656" spans="1:4" x14ac:dyDescent="0.25">
      <c r="A6656" t="str">
        <f>T("   871419")</f>
        <v xml:space="preserve">   871419</v>
      </c>
      <c r="B6656" t="str">
        <f>T("   Parties et accessoires de motocycles, y.c. de cyclomoteurs, n.d.a.")</f>
        <v xml:space="preserve">   Parties et accessoires de motocycles, y.c. de cyclomoteurs, n.d.a.</v>
      </c>
      <c r="C6656">
        <v>1133199</v>
      </c>
      <c r="D6656">
        <v>9513</v>
      </c>
    </row>
    <row r="6657" spans="1:4" x14ac:dyDescent="0.25">
      <c r="A6657" t="str">
        <f>T("   871499")</f>
        <v xml:space="preserve">   871499</v>
      </c>
      <c r="B6657" t="str">
        <f>T("   Parties et accessoires, de bicyclettes, n.d.a.")</f>
        <v xml:space="preserve">   Parties et accessoires, de bicyclettes, n.d.a.</v>
      </c>
      <c r="C6657">
        <v>426285</v>
      </c>
      <c r="D6657">
        <v>7737</v>
      </c>
    </row>
    <row r="6658" spans="1:4" x14ac:dyDescent="0.25">
      <c r="A6658" t="str">
        <f>T("   901819")</f>
        <v xml:space="preserve">   901819</v>
      </c>
      <c r="B6658" t="s">
        <v>527</v>
      </c>
      <c r="C6658">
        <v>7750170</v>
      </c>
      <c r="D6658">
        <v>1155</v>
      </c>
    </row>
    <row r="6659" spans="1:4" x14ac:dyDescent="0.25">
      <c r="A6659" t="str">
        <f>T("   901839")</f>
        <v xml:space="preserve">   901839</v>
      </c>
      <c r="B6659"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6659">
        <v>22904453</v>
      </c>
      <c r="D6659">
        <v>2155</v>
      </c>
    </row>
    <row r="6660" spans="1:4" x14ac:dyDescent="0.25">
      <c r="A6660" t="str">
        <f>T("   901890")</f>
        <v xml:space="preserve">   901890</v>
      </c>
      <c r="B6660" t="str">
        <f>T("   Instruments et appareils pour la médecine, la chirurgie ou l'art vétérinaire, n.d.a.")</f>
        <v xml:space="preserve">   Instruments et appareils pour la médecine, la chirurgie ou l'art vétérinaire, n.d.a.</v>
      </c>
      <c r="C6660">
        <v>11149240</v>
      </c>
      <c r="D6660">
        <v>1765.5</v>
      </c>
    </row>
    <row r="6661" spans="1:4" x14ac:dyDescent="0.25">
      <c r="A6661" t="str">
        <f>T("   902139")</f>
        <v xml:space="preserve">   902139</v>
      </c>
      <c r="B6661" t="str">
        <f>T("   Articles et appareils de prothèse (sauf de prothèse dentaire et prothèses articulaires)")</f>
        <v xml:space="preserve">   Articles et appareils de prothèse (sauf de prothèse dentaire et prothèses articulaires)</v>
      </c>
      <c r="C6661">
        <v>2397775</v>
      </c>
      <c r="D6661">
        <v>11</v>
      </c>
    </row>
    <row r="6662" spans="1:4" x14ac:dyDescent="0.25">
      <c r="A6662" t="str">
        <f>T("   902519")</f>
        <v xml:space="preserve">   902519</v>
      </c>
      <c r="B666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6662">
        <v>16399</v>
      </c>
      <c r="D6662">
        <v>180</v>
      </c>
    </row>
    <row r="6663" spans="1:4" x14ac:dyDescent="0.25">
      <c r="A6663" t="str">
        <f>T("   902610")</f>
        <v xml:space="preserve">   902610</v>
      </c>
      <c r="B6663"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6663">
        <v>235814</v>
      </c>
      <c r="D6663">
        <v>6</v>
      </c>
    </row>
    <row r="6664" spans="1:4" x14ac:dyDescent="0.25">
      <c r="A6664" t="str">
        <f>T("   940180")</f>
        <v xml:space="preserve">   940180</v>
      </c>
      <c r="B6664" t="str">
        <f>T("   Sièges, n.d.a.")</f>
        <v xml:space="preserve">   Sièges, n.d.a.</v>
      </c>
      <c r="C6664">
        <v>55389</v>
      </c>
      <c r="D6664">
        <v>100</v>
      </c>
    </row>
    <row r="6665" spans="1:4" x14ac:dyDescent="0.25">
      <c r="A6665" t="str">
        <f>T("   940320")</f>
        <v xml:space="preserve">   940320</v>
      </c>
      <c r="B6665"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665">
        <v>77672</v>
      </c>
      <c r="D6665">
        <v>90</v>
      </c>
    </row>
    <row r="6666" spans="1:4" x14ac:dyDescent="0.25">
      <c r="A6666" t="str">
        <f>T("   940360")</f>
        <v xml:space="preserve">   940360</v>
      </c>
      <c r="B6666" t="str">
        <f>T("   Meubles en bois (autres que pour bureaux, cuisines ou chambres à coucher et autres que sièges)")</f>
        <v xml:space="preserve">   Meubles en bois (autres que pour bureaux, cuisines ou chambres à coucher et autres que sièges)</v>
      </c>
      <c r="C6666">
        <v>436942</v>
      </c>
      <c r="D6666">
        <v>3000</v>
      </c>
    </row>
    <row r="6667" spans="1:4" x14ac:dyDescent="0.25">
      <c r="A6667" t="str">
        <f>T("   940490")</f>
        <v xml:space="preserve">   940490</v>
      </c>
      <c r="B6667" t="s">
        <v>537</v>
      </c>
      <c r="C6667">
        <v>664193</v>
      </c>
      <c r="D6667">
        <v>185</v>
      </c>
    </row>
    <row r="6668" spans="1:4" x14ac:dyDescent="0.25">
      <c r="A6668" t="str">
        <f>T("   960390")</f>
        <v xml:space="preserve">   960390</v>
      </c>
      <c r="B6668"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6668">
        <v>21907</v>
      </c>
      <c r="D6668">
        <v>500</v>
      </c>
    </row>
    <row r="6669" spans="1:4" x14ac:dyDescent="0.25">
      <c r="A6669" t="str">
        <f>T("   960810")</f>
        <v xml:space="preserve">   960810</v>
      </c>
      <c r="B6669" t="str">
        <f>T("   Stylos et crayons à bille")</f>
        <v xml:space="preserve">   Stylos et crayons à bille</v>
      </c>
      <c r="C6669">
        <v>30314774</v>
      </c>
      <c r="D6669">
        <v>37029</v>
      </c>
    </row>
    <row r="6670" spans="1:4" x14ac:dyDescent="0.25">
      <c r="A6670" t="str">
        <f>T("   960839")</f>
        <v xml:space="preserve">   960839</v>
      </c>
      <c r="B6670" t="str">
        <f>T("   Stylos à plume et autres stylos (autres qu'à dessiner à l'encre de Chine)")</f>
        <v xml:space="preserve">   Stylos à plume et autres stylos (autres qu'à dessiner à l'encre de Chine)</v>
      </c>
      <c r="C6670">
        <v>178618</v>
      </c>
      <c r="D6670">
        <v>740</v>
      </c>
    </row>
    <row r="6671" spans="1:4" x14ac:dyDescent="0.25">
      <c r="A6671" t="str">
        <f>T("   960899")</f>
        <v xml:space="preserve">   960899</v>
      </c>
      <c r="B6671"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6671">
        <v>100834</v>
      </c>
      <c r="D6671">
        <v>166</v>
      </c>
    </row>
    <row r="6672" spans="1:4" x14ac:dyDescent="0.25">
      <c r="A6672" t="str">
        <f>T("IR")</f>
        <v>IR</v>
      </c>
      <c r="B6672" t="str">
        <f>T("Iran, République Islqmique d'")</f>
        <v>Iran, République Islqmique d'</v>
      </c>
    </row>
    <row r="6673" spans="1:4" x14ac:dyDescent="0.25">
      <c r="A6673" t="str">
        <f>T("   ZZ_Total_Produit_SH6")</f>
        <v xml:space="preserve">   ZZ_Total_Produit_SH6</v>
      </c>
      <c r="B6673" t="str">
        <f>T("   ZZ_Total_Produit_SH6")</f>
        <v xml:space="preserve">   ZZ_Total_Produit_SH6</v>
      </c>
      <c r="C6673">
        <v>73461729</v>
      </c>
      <c r="D6673">
        <v>201607.4</v>
      </c>
    </row>
    <row r="6674" spans="1:4" x14ac:dyDescent="0.25">
      <c r="A6674" t="str">
        <f>T("   170490")</f>
        <v xml:space="preserve">   170490</v>
      </c>
      <c r="B6674" t="str">
        <f>T("   Sucreries sans cacao, y.c. le chocolat blanc (à l'excl. des gommes à mâcher)")</f>
        <v xml:space="preserve">   Sucreries sans cacao, y.c. le chocolat blanc (à l'excl. des gommes à mâcher)</v>
      </c>
      <c r="C6674">
        <v>911784</v>
      </c>
      <c r="D6674">
        <v>3060</v>
      </c>
    </row>
    <row r="6675" spans="1:4" x14ac:dyDescent="0.25">
      <c r="A6675" t="str">
        <f>T("   190219")</f>
        <v xml:space="preserve">   190219</v>
      </c>
      <c r="B6675" t="str">
        <f>T("   PÂTES ALIMENTAIRES NON-CUITES NI FARCIES NI AUTREMENT PRÉPARÉES, NE CONTENANT PAS D'OEUFS")</f>
        <v xml:space="preserve">   PÂTES ALIMENTAIRES NON-CUITES NI FARCIES NI AUTREMENT PRÉPARÉES, NE CONTENANT PAS D'OEUFS</v>
      </c>
      <c r="C6675">
        <v>11239192</v>
      </c>
      <c r="D6675">
        <v>76720</v>
      </c>
    </row>
    <row r="6676" spans="1:4" x14ac:dyDescent="0.25">
      <c r="A6676" t="str">
        <f>T("   190230")</f>
        <v xml:space="preserve">   190230</v>
      </c>
      <c r="B6676" t="str">
        <f>T("   Pâtes alimentaires, cuites ou autrement préparées (à l'excl. des pâtes alimentaires farcies)")</f>
        <v xml:space="preserve">   Pâtes alimentaires, cuites ou autrement préparées (à l'excl. des pâtes alimentaires farcies)</v>
      </c>
      <c r="C6676">
        <v>5898416</v>
      </c>
      <c r="D6676">
        <v>25610</v>
      </c>
    </row>
    <row r="6677" spans="1:4" x14ac:dyDescent="0.25">
      <c r="A6677" t="str">
        <f>T("   190531")</f>
        <v xml:space="preserve">   190531</v>
      </c>
      <c r="B6677" t="str">
        <f>T("   Biscuits additionnés d'édulcorants")</f>
        <v xml:space="preserve">   Biscuits additionnés d'édulcorants</v>
      </c>
      <c r="C6677">
        <v>20695538</v>
      </c>
      <c r="D6677">
        <v>53223</v>
      </c>
    </row>
    <row r="6678" spans="1:4" x14ac:dyDescent="0.25">
      <c r="A6678" t="str">
        <f>T("   490199")</f>
        <v xml:space="preserve">   490199</v>
      </c>
      <c r="B667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678">
        <v>155758</v>
      </c>
      <c r="D6678">
        <v>20</v>
      </c>
    </row>
    <row r="6679" spans="1:4" x14ac:dyDescent="0.25">
      <c r="A6679" t="str">
        <f>T("   630900")</f>
        <v xml:space="preserve">   630900</v>
      </c>
      <c r="B6679" t="s">
        <v>300</v>
      </c>
      <c r="C6679">
        <v>19800000</v>
      </c>
      <c r="D6679">
        <v>42800</v>
      </c>
    </row>
    <row r="6680" spans="1:4" x14ac:dyDescent="0.25">
      <c r="A6680" t="str">
        <f>T("   847190")</f>
        <v xml:space="preserve">   847190</v>
      </c>
      <c r="B668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680">
        <v>160731</v>
      </c>
      <c r="D6680">
        <v>2.9</v>
      </c>
    </row>
    <row r="6681" spans="1:4" x14ac:dyDescent="0.25">
      <c r="A6681" t="str">
        <f>T("   851769")</f>
        <v xml:space="preserve">   851769</v>
      </c>
      <c r="B6681" t="s">
        <v>481</v>
      </c>
      <c r="C6681">
        <v>2157075</v>
      </c>
      <c r="D6681">
        <v>134.5</v>
      </c>
    </row>
    <row r="6682" spans="1:4" x14ac:dyDescent="0.25">
      <c r="A6682" t="str">
        <f>T("   851770")</f>
        <v xml:space="preserve">   851770</v>
      </c>
      <c r="B6682"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6682">
        <v>12126737</v>
      </c>
      <c r="D6682">
        <v>34</v>
      </c>
    </row>
    <row r="6683" spans="1:4" x14ac:dyDescent="0.25">
      <c r="A6683" t="str">
        <f>T("   852321")</f>
        <v xml:space="preserve">   852321</v>
      </c>
      <c r="B6683" t="str">
        <f>T("   CARTES MUNIES D'UNE PISTE MAGNÉTIQUE POUR L'ENREGISTREMENT DU SON OU POUR ENREGISTREMENTS ANALOGUES")</f>
        <v xml:space="preserve">   CARTES MUNIES D'UNE PISTE MAGNÉTIQUE POUR L'ENREGISTREMENT DU SON OU POUR ENREGISTREMENTS ANALOGUES</v>
      </c>
      <c r="C6683">
        <v>316498</v>
      </c>
      <c r="D6683">
        <v>3</v>
      </c>
    </row>
    <row r="6684" spans="1:4" x14ac:dyDescent="0.25">
      <c r="A6684" t="str">
        <f>T("IS")</f>
        <v>IS</v>
      </c>
      <c r="B6684" t="str">
        <f>T("Islande")</f>
        <v>Islande</v>
      </c>
    </row>
    <row r="6685" spans="1:4" x14ac:dyDescent="0.25">
      <c r="A6685" t="str">
        <f>T("   ZZ_Total_Produit_SH6")</f>
        <v xml:space="preserve">   ZZ_Total_Produit_SH6</v>
      </c>
      <c r="B6685" t="str">
        <f>T("   ZZ_Total_Produit_SH6")</f>
        <v xml:space="preserve">   ZZ_Total_Produit_SH6</v>
      </c>
      <c r="C6685">
        <v>1642985654.168</v>
      </c>
      <c r="D6685">
        <v>7657898</v>
      </c>
    </row>
    <row r="6686" spans="1:4" x14ac:dyDescent="0.25">
      <c r="A6686" t="str">
        <f>T("   020714")</f>
        <v xml:space="preserve">   020714</v>
      </c>
      <c r="B6686" t="str">
        <f>T("   Morceaux et abats comestibles de coqs et de poules [des espèces domestiques], congelés")</f>
        <v xml:space="preserve">   Morceaux et abats comestibles de coqs et de poules [des espèces domestiques], congelés</v>
      </c>
      <c r="C6686">
        <v>15550000</v>
      </c>
      <c r="D6686">
        <v>25000</v>
      </c>
    </row>
    <row r="6687" spans="1:4" x14ac:dyDescent="0.25">
      <c r="A6687" t="str">
        <f>T("   100110")</f>
        <v xml:space="preserve">   100110</v>
      </c>
      <c r="B6687" t="str">
        <f>T("   Froment [blé] dur")</f>
        <v xml:space="preserve">   Froment [blé] dur</v>
      </c>
      <c r="C6687">
        <v>36000000</v>
      </c>
      <c r="D6687">
        <v>240000</v>
      </c>
    </row>
    <row r="6688" spans="1:4" x14ac:dyDescent="0.25">
      <c r="A6688" t="str">
        <f>T("   100630")</f>
        <v xml:space="preserve">   100630</v>
      </c>
      <c r="B6688" t="str">
        <f>T("   Riz semi-blanchi ou blanchi, même poli ou glacé")</f>
        <v xml:space="preserve">   Riz semi-blanchi ou blanchi, même poli ou glacé</v>
      </c>
      <c r="C6688">
        <v>1251170662.168</v>
      </c>
      <c r="D6688">
        <v>4456200</v>
      </c>
    </row>
    <row r="6689" spans="1:4" x14ac:dyDescent="0.25">
      <c r="A6689" t="str">
        <f>T("   100640")</f>
        <v xml:space="preserve">   100640</v>
      </c>
      <c r="B6689" t="str">
        <f>T("   Riz en brisures")</f>
        <v xml:space="preserve">   Riz en brisures</v>
      </c>
      <c r="C6689">
        <v>300690000</v>
      </c>
      <c r="D6689">
        <v>2916620</v>
      </c>
    </row>
    <row r="6690" spans="1:4" x14ac:dyDescent="0.25">
      <c r="A6690" t="str">
        <f>T("   321590")</f>
        <v xml:space="preserve">   321590</v>
      </c>
      <c r="B6690" t="str">
        <f>T("   Encres à écrire et à dessiner, même concentrées ou sous formes solides")</f>
        <v xml:space="preserve">   Encres à écrire et à dessiner, même concentrées ou sous formes solides</v>
      </c>
      <c r="C6690">
        <v>3430017</v>
      </c>
      <c r="D6690">
        <v>83</v>
      </c>
    </row>
    <row r="6691" spans="1:4" x14ac:dyDescent="0.25">
      <c r="A6691" t="str">
        <f>T("   382200")</f>
        <v xml:space="preserve">   382200</v>
      </c>
      <c r="B6691" t="s">
        <v>133</v>
      </c>
      <c r="C6691">
        <v>3755880</v>
      </c>
      <c r="D6691">
        <v>71</v>
      </c>
    </row>
    <row r="6692" spans="1:4" x14ac:dyDescent="0.25">
      <c r="A6692" t="str">
        <f>T("   390750")</f>
        <v xml:space="preserve">   390750</v>
      </c>
      <c r="B6692" t="str">
        <f>T("   Résines alkydes, sous formes primaires")</f>
        <v xml:space="preserve">   Résines alkydes, sous formes primaires</v>
      </c>
      <c r="C6692">
        <v>19824954</v>
      </c>
      <c r="D6692">
        <v>18870</v>
      </c>
    </row>
    <row r="6693" spans="1:4" x14ac:dyDescent="0.25">
      <c r="A6693" t="str">
        <f>T("   610899")</f>
        <v xml:space="preserve">   610899</v>
      </c>
      <c r="B6693" t="s">
        <v>282</v>
      </c>
      <c r="C6693">
        <v>110716</v>
      </c>
      <c r="D6693">
        <v>10</v>
      </c>
    </row>
    <row r="6694" spans="1:4" x14ac:dyDescent="0.25">
      <c r="A6694" t="str">
        <f>T("   842131")</f>
        <v xml:space="preserve">   842131</v>
      </c>
      <c r="B6694" t="str">
        <f>T("   Filtres d'entrée d'air pour moteurs à allumage par étincelles ou par compression")</f>
        <v xml:space="preserve">   Filtres d'entrée d'air pour moteurs à allumage par étincelles ou par compression</v>
      </c>
      <c r="C6694">
        <v>32798</v>
      </c>
      <c r="D6694">
        <v>26</v>
      </c>
    </row>
    <row r="6695" spans="1:4" x14ac:dyDescent="0.25">
      <c r="A6695" t="str">
        <f>T("   843149")</f>
        <v xml:space="preserve">   843149</v>
      </c>
      <c r="B6695" t="str">
        <f>T("   Parties de machines et appareils du n° 8426, 8429 ou 8430, n.d.a.")</f>
        <v xml:space="preserve">   Parties de machines et appareils du n° 8426, 8429 ou 8430, n.d.a.</v>
      </c>
      <c r="C6695">
        <v>1415765</v>
      </c>
      <c r="D6695">
        <v>120</v>
      </c>
    </row>
    <row r="6696" spans="1:4" x14ac:dyDescent="0.25">
      <c r="A6696" t="str">
        <f>T("   852910")</f>
        <v xml:space="preserve">   852910</v>
      </c>
      <c r="B669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6696">
        <v>812475</v>
      </c>
      <c r="D6696">
        <v>53</v>
      </c>
    </row>
    <row r="6697" spans="1:4" x14ac:dyDescent="0.25">
      <c r="A6697" t="str">
        <f>T("   900110")</f>
        <v xml:space="preserve">   900110</v>
      </c>
      <c r="B6697"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6697">
        <v>4122053</v>
      </c>
      <c r="D6697">
        <v>496</v>
      </c>
    </row>
    <row r="6698" spans="1:4" x14ac:dyDescent="0.25">
      <c r="A6698" t="str">
        <f>T("   900830")</f>
        <v xml:space="preserve">   900830</v>
      </c>
      <c r="B6698"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6698">
        <v>6070334</v>
      </c>
      <c r="D6698">
        <v>349</v>
      </c>
    </row>
    <row r="6699" spans="1:4" x14ac:dyDescent="0.25">
      <c r="A6699" t="str">
        <f>T("IT")</f>
        <v>IT</v>
      </c>
      <c r="B6699" t="str">
        <f>T("Italie")</f>
        <v>Italie</v>
      </c>
    </row>
    <row r="6700" spans="1:4" x14ac:dyDescent="0.25">
      <c r="A6700" t="str">
        <f>T("   ZZ_Total_Produit_SH6")</f>
        <v xml:space="preserve">   ZZ_Total_Produit_SH6</v>
      </c>
      <c r="B6700" t="str">
        <f>T("   ZZ_Total_Produit_SH6")</f>
        <v xml:space="preserve">   ZZ_Total_Produit_SH6</v>
      </c>
      <c r="C6700">
        <v>16775693517.782</v>
      </c>
      <c r="D6700">
        <v>21292905.43</v>
      </c>
    </row>
    <row r="6701" spans="1:4" x14ac:dyDescent="0.25">
      <c r="A6701" t="str">
        <f>T("   020711")</f>
        <v xml:space="preserve">   020711</v>
      </c>
      <c r="B6701" t="str">
        <f>T("   COQS ET POULES [DES ESPÈCES DOMESTIQUES], NON-DÉCOUPÉS EN MORCEAUX, FRAIS OU RÉFRIGÉRÉS")</f>
        <v xml:space="preserve">   COQS ET POULES [DES ESPÈCES DOMESTIQUES], NON-DÉCOUPÉS EN MORCEAUX, FRAIS OU RÉFRIGÉRÉS</v>
      </c>
      <c r="C6701">
        <v>31100376</v>
      </c>
      <c r="D6701">
        <v>49958</v>
      </c>
    </row>
    <row r="6702" spans="1:4" x14ac:dyDescent="0.25">
      <c r="A6702" t="str">
        <f>T("   020712")</f>
        <v xml:space="preserve">   020712</v>
      </c>
      <c r="B6702" t="str">
        <f>T("   COQS ET POULES [DES ESPÈCES DOMESTIQUES], NON-DÉCOUPÉS EN MORCEAUX, CONGELÉS")</f>
        <v xml:space="preserve">   COQS ET POULES [DES ESPÈCES DOMESTIQUES], NON-DÉCOUPÉS EN MORCEAUX, CONGELÉS</v>
      </c>
      <c r="C6702">
        <v>1956704322</v>
      </c>
      <c r="D6702">
        <v>3147858</v>
      </c>
    </row>
    <row r="6703" spans="1:4" x14ac:dyDescent="0.25">
      <c r="A6703" t="str">
        <f>T("   020713")</f>
        <v xml:space="preserve">   020713</v>
      </c>
      <c r="B6703" t="str">
        <f>T("   Morceaux et abats comestibles de coqs et de poules [des espèces domestiques], frais ou réfrigérés")</f>
        <v xml:space="preserve">   Morceaux et abats comestibles de coqs et de poules [des espèces domestiques], frais ou réfrigérés</v>
      </c>
      <c r="C6703">
        <v>15550188</v>
      </c>
      <c r="D6703">
        <v>25000</v>
      </c>
    </row>
    <row r="6704" spans="1:4" x14ac:dyDescent="0.25">
      <c r="A6704" t="str">
        <f>T("   020714")</f>
        <v xml:space="preserve">   020714</v>
      </c>
      <c r="B6704" t="str">
        <f>T("   Morceaux et abats comestibles de coqs et de poules [des espèces domestiques], congelés")</f>
        <v xml:space="preserve">   Morceaux et abats comestibles de coqs et de poules [des espèces domestiques], congelés</v>
      </c>
      <c r="C6704">
        <v>714779047</v>
      </c>
      <c r="D6704">
        <v>1154735</v>
      </c>
    </row>
    <row r="6705" spans="1:4" x14ac:dyDescent="0.25">
      <c r="A6705" t="str">
        <f>T("   020724")</f>
        <v xml:space="preserve">   020724</v>
      </c>
      <c r="B6705" t="str">
        <f>T("   DINDES ET DINDONS [DES ESPÈCES DOMESTIQUES], NON-DÉCOUPÉES EN MORCEAUX, FRAIS OU RÉFRIGÉRÉS")</f>
        <v xml:space="preserve">   DINDES ET DINDONS [DES ESPÈCES DOMESTIQUES], NON-DÉCOUPÉES EN MORCEAUX, FRAIS OU RÉFRIGÉRÉS</v>
      </c>
      <c r="C6705">
        <v>15550188</v>
      </c>
      <c r="D6705">
        <v>25000</v>
      </c>
    </row>
    <row r="6706" spans="1:4" x14ac:dyDescent="0.25">
      <c r="A6706" t="str">
        <f>T("   020725")</f>
        <v xml:space="preserve">   020725</v>
      </c>
      <c r="B6706" t="str">
        <f>T("   DINDES ET DINDONS [DES ESPÈCES DOMESTIQUES], NON-DÉCOUPÉS EN MORCEAUX, CONGELÉS")</f>
        <v xml:space="preserve">   DINDES ET DINDONS [DES ESPÈCES DOMESTIQUES], NON-DÉCOUPÉS EN MORCEAUX, CONGELÉS</v>
      </c>
      <c r="C6706">
        <v>15550188</v>
      </c>
      <c r="D6706">
        <v>25000</v>
      </c>
    </row>
    <row r="6707" spans="1:4" x14ac:dyDescent="0.25">
      <c r="A6707" t="str">
        <f>T("   020726")</f>
        <v xml:space="preserve">   020726</v>
      </c>
      <c r="B6707" t="str">
        <f>T("   Morceaux et abats comestibles de dindes et dindons [des espèces domestiques], frais ou réfrigérés")</f>
        <v xml:space="preserve">   Morceaux et abats comestibles de dindes et dindons [des espèces domestiques], frais ou réfrigérés</v>
      </c>
      <c r="C6707">
        <v>15550000</v>
      </c>
      <c r="D6707">
        <v>25000</v>
      </c>
    </row>
    <row r="6708" spans="1:4" x14ac:dyDescent="0.25">
      <c r="A6708" t="str">
        <f>T("   020727")</f>
        <v xml:space="preserve">   020727</v>
      </c>
      <c r="B6708" t="str">
        <f>T("   Morceaux et abats comestibles de dindes et dindons [des espèces domestiques], congelés")</f>
        <v xml:space="preserve">   Morceaux et abats comestibles de dindes et dindons [des espèces domestiques], congelés</v>
      </c>
      <c r="C6708">
        <v>1021211760</v>
      </c>
      <c r="D6708">
        <v>1638797</v>
      </c>
    </row>
    <row r="6709" spans="1:4" x14ac:dyDescent="0.25">
      <c r="A6709" t="str">
        <f>T("   020736")</f>
        <v xml:space="preserve">   020736</v>
      </c>
      <c r="B6709" t="str">
        <f>T("   Morceaux et abats comestibles de canards, d'oies ou de pintades [des espèces domestiques], congelés (à l'excl. des foies gras)")</f>
        <v xml:space="preserve">   Morceaux et abats comestibles de canards, d'oies ou de pintades [des espèces domestiques], congelés (à l'excl. des foies gras)</v>
      </c>
      <c r="C6709">
        <v>124400000</v>
      </c>
      <c r="D6709">
        <v>200000</v>
      </c>
    </row>
    <row r="6710" spans="1:4" x14ac:dyDescent="0.25">
      <c r="A6710" t="str">
        <f>T("   030371")</f>
        <v xml:space="preserve">   030371</v>
      </c>
      <c r="B6710" t="str">
        <f>T("   Sardines [Sardina pilchardus, Sardinops spp.], sardinelles [Sardinella spp.], sprats ou esprots [Sprattus sprattus], congelés")</f>
        <v xml:space="preserve">   Sardines [Sardina pilchardus, Sardinops spp.], sardinelles [Sardinella spp.], sprats ou esprots [Sprattus sprattus], congelés</v>
      </c>
      <c r="C6710">
        <v>6300000</v>
      </c>
      <c r="D6710">
        <v>28000</v>
      </c>
    </row>
    <row r="6711" spans="1:4" x14ac:dyDescent="0.25">
      <c r="A6711" t="str">
        <f>T("   030379")</f>
        <v xml:space="preserve">   030379</v>
      </c>
      <c r="B6711" t="s">
        <v>16</v>
      </c>
      <c r="C6711">
        <v>6075000</v>
      </c>
      <c r="D6711">
        <v>27000</v>
      </c>
    </row>
    <row r="6712" spans="1:4" x14ac:dyDescent="0.25">
      <c r="A6712" t="str">
        <f>T("   040210")</f>
        <v xml:space="preserve">   040210</v>
      </c>
      <c r="B6712"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712">
        <v>3630326</v>
      </c>
      <c r="D6712">
        <v>1000</v>
      </c>
    </row>
    <row r="6713" spans="1:4" x14ac:dyDescent="0.25">
      <c r="A6713" t="str">
        <f>T("   040221")</f>
        <v xml:space="preserve">   040221</v>
      </c>
      <c r="B6713"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713">
        <v>3451124</v>
      </c>
      <c r="D6713">
        <v>1877</v>
      </c>
    </row>
    <row r="6714" spans="1:4" x14ac:dyDescent="0.25">
      <c r="A6714" t="str">
        <f>T("   040299")</f>
        <v xml:space="preserve">   040299</v>
      </c>
      <c r="B6714"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6714">
        <v>2636304</v>
      </c>
      <c r="D6714">
        <v>501</v>
      </c>
    </row>
    <row r="6715" spans="1:4" x14ac:dyDescent="0.25">
      <c r="A6715" t="str">
        <f>T("   040390")</f>
        <v xml:space="preserve">   040390</v>
      </c>
      <c r="B6715"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6715">
        <v>21174389</v>
      </c>
      <c r="D6715">
        <v>21663</v>
      </c>
    </row>
    <row r="6716" spans="1:4" x14ac:dyDescent="0.25">
      <c r="A6716" t="str">
        <f>T("   050400")</f>
        <v xml:space="preserve">   050400</v>
      </c>
      <c r="B671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6716">
        <v>16219188</v>
      </c>
      <c r="D6716">
        <v>13400</v>
      </c>
    </row>
    <row r="6717" spans="1:4" x14ac:dyDescent="0.25">
      <c r="A6717" t="str">
        <f>T("   070810")</f>
        <v xml:space="preserve">   070810</v>
      </c>
      <c r="B6717" t="str">
        <f>T("   Pois 'Pisum sativum', écossés ou non, à l'état frais ou réfrigéré")</f>
        <v xml:space="preserve">   Pois 'Pisum sativum', écossés ou non, à l'état frais ou réfrigéré</v>
      </c>
      <c r="C6717">
        <v>144727428</v>
      </c>
      <c r="D6717">
        <v>461092</v>
      </c>
    </row>
    <row r="6718" spans="1:4" x14ac:dyDescent="0.25">
      <c r="A6718" t="str">
        <f>T("   080610")</f>
        <v xml:space="preserve">   080610</v>
      </c>
      <c r="B6718" t="str">
        <f>T("   Raisins, frais")</f>
        <v xml:space="preserve">   Raisins, frais</v>
      </c>
      <c r="C6718">
        <v>153003416</v>
      </c>
      <c r="D6718">
        <v>382740</v>
      </c>
    </row>
    <row r="6719" spans="1:4" x14ac:dyDescent="0.25">
      <c r="A6719" t="str">
        <f>T("   080810")</f>
        <v xml:space="preserve">   080810</v>
      </c>
      <c r="B6719" t="str">
        <f>T("   Pommes, fraîches")</f>
        <v xml:space="preserve">   Pommes, fraîches</v>
      </c>
      <c r="C6719">
        <v>16000744</v>
      </c>
      <c r="D6719">
        <v>39340</v>
      </c>
    </row>
    <row r="6720" spans="1:4" x14ac:dyDescent="0.25">
      <c r="A6720" t="str">
        <f>T("   090121")</f>
        <v xml:space="preserve">   090121</v>
      </c>
      <c r="B6720" t="str">
        <f>T("   Café, torréfié, non décaféiné")</f>
        <v xml:space="preserve">   Café, torréfié, non décaféiné</v>
      </c>
      <c r="C6720">
        <v>3553250</v>
      </c>
      <c r="D6720">
        <v>428</v>
      </c>
    </row>
    <row r="6721" spans="1:4" x14ac:dyDescent="0.25">
      <c r="A6721" t="str">
        <f>T("   100610")</f>
        <v xml:space="preserve">   100610</v>
      </c>
      <c r="B6721" t="str">
        <f>T("   Riz en paille [riz paddy]")</f>
        <v xml:space="preserve">   Riz en paille [riz paddy]</v>
      </c>
      <c r="C6721">
        <v>131192</v>
      </c>
      <c r="D6721">
        <v>1350</v>
      </c>
    </row>
    <row r="6722" spans="1:4" x14ac:dyDescent="0.25">
      <c r="A6722" t="str">
        <f>T("   100620")</f>
        <v xml:space="preserve">   100620</v>
      </c>
      <c r="B6722" t="str">
        <f>T("   Riz décortiqué [riz cargo ou riz brun]")</f>
        <v xml:space="preserve">   Riz décortiqué [riz cargo ou riz brun]</v>
      </c>
      <c r="C6722">
        <v>599045</v>
      </c>
      <c r="D6722">
        <v>1735</v>
      </c>
    </row>
    <row r="6723" spans="1:4" x14ac:dyDescent="0.25">
      <c r="A6723" t="str">
        <f>T("   100630")</f>
        <v xml:space="preserve">   100630</v>
      </c>
      <c r="B6723" t="str">
        <f>T("   Riz semi-blanchi ou blanchi, même poli ou glacé")</f>
        <v xml:space="preserve">   Riz semi-blanchi ou blanchi, même poli ou glacé</v>
      </c>
      <c r="C6723">
        <v>282334112.84299999</v>
      </c>
      <c r="D6723">
        <v>1000000</v>
      </c>
    </row>
    <row r="6724" spans="1:4" x14ac:dyDescent="0.25">
      <c r="A6724" t="str">
        <f>T("   110100")</f>
        <v xml:space="preserve">   110100</v>
      </c>
      <c r="B6724" t="str">
        <f>T("   Farines de froment [blé] ou de méteil")</f>
        <v xml:space="preserve">   Farines de froment [blé] ou de méteil</v>
      </c>
      <c r="C6724">
        <v>969879.94</v>
      </c>
      <c r="D6724">
        <v>3600</v>
      </c>
    </row>
    <row r="6725" spans="1:4" x14ac:dyDescent="0.25">
      <c r="A6725" t="str">
        <f>T("   150990")</f>
        <v xml:space="preserve">   150990</v>
      </c>
      <c r="B6725"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6725">
        <v>300000</v>
      </c>
      <c r="D6725">
        <v>275</v>
      </c>
    </row>
    <row r="6726" spans="1:4" x14ac:dyDescent="0.25">
      <c r="A6726" t="str">
        <f>T("   160413")</f>
        <v xml:space="preserve">   160413</v>
      </c>
      <c r="B672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726">
        <v>131192</v>
      </c>
      <c r="D6726">
        <v>1150</v>
      </c>
    </row>
    <row r="6727" spans="1:4" x14ac:dyDescent="0.25">
      <c r="A6727" t="str">
        <f>T("   190110")</f>
        <v xml:space="preserve">   190110</v>
      </c>
      <c r="B6727" t="s">
        <v>48</v>
      </c>
      <c r="C6727">
        <v>385048</v>
      </c>
      <c r="D6727">
        <v>700</v>
      </c>
    </row>
    <row r="6728" spans="1:4" x14ac:dyDescent="0.25">
      <c r="A6728" t="str">
        <f>T("   190190")</f>
        <v xml:space="preserve">   190190</v>
      </c>
      <c r="B6728" t="s">
        <v>50</v>
      </c>
      <c r="C6728">
        <v>3039377</v>
      </c>
      <c r="D6728">
        <v>4654</v>
      </c>
    </row>
    <row r="6729" spans="1:4" x14ac:dyDescent="0.25">
      <c r="A6729" t="str">
        <f>T("   190219")</f>
        <v xml:space="preserve">   190219</v>
      </c>
      <c r="B6729" t="str">
        <f>T("   PÂTES ALIMENTAIRES NON-CUITES NI FARCIES NI AUTREMENT PRÉPARÉES, NE CONTENANT PAS D'OEUFS")</f>
        <v xml:space="preserve">   PÂTES ALIMENTAIRES NON-CUITES NI FARCIES NI AUTREMENT PRÉPARÉES, NE CONTENANT PAS D'OEUFS</v>
      </c>
      <c r="C6729">
        <v>35296897</v>
      </c>
      <c r="D6729">
        <v>157453</v>
      </c>
    </row>
    <row r="6730" spans="1:4" x14ac:dyDescent="0.25">
      <c r="A6730" t="str">
        <f>T("   190230")</f>
        <v xml:space="preserve">   190230</v>
      </c>
      <c r="B6730" t="str">
        <f>T("   Pâtes alimentaires, cuites ou autrement préparées (à l'excl. des pâtes alimentaires farcies)")</f>
        <v xml:space="preserve">   Pâtes alimentaires, cuites ou autrement préparées (à l'excl. des pâtes alimentaires farcies)</v>
      </c>
      <c r="C6730">
        <v>163558520</v>
      </c>
      <c r="D6730">
        <v>656980</v>
      </c>
    </row>
    <row r="6731" spans="1:4" x14ac:dyDescent="0.25">
      <c r="A6731" t="str">
        <f>T("   190531")</f>
        <v xml:space="preserve">   190531</v>
      </c>
      <c r="B6731" t="str">
        <f>T("   Biscuits additionnés d'édulcorants")</f>
        <v xml:space="preserve">   Biscuits additionnés d'édulcorants</v>
      </c>
      <c r="C6731">
        <v>10241007</v>
      </c>
      <c r="D6731">
        <v>13578</v>
      </c>
    </row>
    <row r="6732" spans="1:4" x14ac:dyDescent="0.25">
      <c r="A6732" t="str">
        <f>T("   190590")</f>
        <v xml:space="preserve">   190590</v>
      </c>
      <c r="B6732" t="s">
        <v>52</v>
      </c>
      <c r="C6732">
        <v>3458221</v>
      </c>
      <c r="D6732">
        <v>5825</v>
      </c>
    </row>
    <row r="6733" spans="1:4" x14ac:dyDescent="0.25">
      <c r="A6733" t="str">
        <f>T("   200290")</f>
        <v xml:space="preserve">   200290</v>
      </c>
      <c r="B6733"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733">
        <v>50001750</v>
      </c>
      <c r="D6733">
        <v>192434</v>
      </c>
    </row>
    <row r="6734" spans="1:4" x14ac:dyDescent="0.25">
      <c r="A6734" t="str">
        <f>T("   200390")</f>
        <v xml:space="preserve">   200390</v>
      </c>
      <c r="B6734"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6734">
        <v>166614</v>
      </c>
      <c r="D6734">
        <v>261</v>
      </c>
    </row>
    <row r="6735" spans="1:4" x14ac:dyDescent="0.25">
      <c r="A6735" t="str">
        <f>T("   200540")</f>
        <v xml:space="preserve">   200540</v>
      </c>
      <c r="B6735" t="str">
        <f>T("   Pois [Pisum sativum], préparés ou conservés autrement qu'au vinaigre ou à l'acide acétique, non congelés")</f>
        <v xml:space="preserve">   Pois [Pisum sativum], préparés ou conservés autrement qu'au vinaigre ou à l'acide acétique, non congelés</v>
      </c>
      <c r="C6735">
        <v>5186676</v>
      </c>
      <c r="D6735">
        <v>43200</v>
      </c>
    </row>
    <row r="6736" spans="1:4" x14ac:dyDescent="0.25">
      <c r="A6736" t="str">
        <f>T("   200559")</f>
        <v xml:space="preserve">   200559</v>
      </c>
      <c r="B6736"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6736">
        <v>3921515</v>
      </c>
      <c r="D6736">
        <v>265</v>
      </c>
    </row>
    <row r="6737" spans="1:4" x14ac:dyDescent="0.25">
      <c r="A6737" t="str">
        <f>T("   200599")</f>
        <v xml:space="preserve">   200599</v>
      </c>
      <c r="B6737" t="s">
        <v>53</v>
      </c>
      <c r="C6737">
        <v>223814</v>
      </c>
      <c r="D6737">
        <v>524</v>
      </c>
    </row>
    <row r="6738" spans="1:4" x14ac:dyDescent="0.25">
      <c r="A6738" t="str">
        <f>T("   200600")</f>
        <v xml:space="preserve">   200600</v>
      </c>
      <c r="B6738" t="str">
        <f>T("   Légumes, fruits, écorces de fruits et autres parties de plantes, confits au sucre [égouttés, glacés ou cristallisés]")</f>
        <v xml:space="preserve">   Légumes, fruits, écorces de fruits et autres parties de plantes, confits au sucre [égouttés, glacés ou cristallisés]</v>
      </c>
      <c r="C6738">
        <v>654287</v>
      </c>
      <c r="D6738">
        <v>6200</v>
      </c>
    </row>
    <row r="6739" spans="1:4" x14ac:dyDescent="0.25">
      <c r="A6739" t="str">
        <f>T("   200969")</f>
        <v xml:space="preserve">   200969</v>
      </c>
      <c r="B6739"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6739">
        <v>4735375</v>
      </c>
      <c r="D6739">
        <v>17457</v>
      </c>
    </row>
    <row r="6740" spans="1:4" x14ac:dyDescent="0.25">
      <c r="A6740" t="str">
        <f>T("   200980")</f>
        <v xml:space="preserve">   200980</v>
      </c>
      <c r="B674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740">
        <v>141901</v>
      </c>
      <c r="D6740">
        <v>250</v>
      </c>
    </row>
    <row r="6741" spans="1:4" x14ac:dyDescent="0.25">
      <c r="A6741" t="str">
        <f>T("   210390")</f>
        <v xml:space="preserve">   210390</v>
      </c>
      <c r="B674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741">
        <v>6097148</v>
      </c>
      <c r="D6741">
        <v>6037</v>
      </c>
    </row>
    <row r="6742" spans="1:4" x14ac:dyDescent="0.25">
      <c r="A6742" t="str">
        <f>T("   210420")</f>
        <v xml:space="preserve">   210420</v>
      </c>
      <c r="B6742" t="s">
        <v>59</v>
      </c>
      <c r="C6742">
        <v>5568635</v>
      </c>
      <c r="D6742">
        <v>8197</v>
      </c>
    </row>
    <row r="6743" spans="1:4" x14ac:dyDescent="0.25">
      <c r="A6743" t="str">
        <f>T("   210610")</f>
        <v xml:space="preserve">   210610</v>
      </c>
      <c r="B6743" t="str">
        <f>T("   Concentrats de protéines et substances protéiques texturées")</f>
        <v xml:space="preserve">   Concentrats de protéines et substances protéiques texturées</v>
      </c>
      <c r="C6743">
        <v>227809</v>
      </c>
      <c r="D6743">
        <v>350</v>
      </c>
    </row>
    <row r="6744" spans="1:4" x14ac:dyDescent="0.25">
      <c r="A6744" t="str">
        <f>T("   210690")</f>
        <v xml:space="preserve">   210690</v>
      </c>
      <c r="B6744" t="str">
        <f>T("   Préparations alimentaires, n.d.a.")</f>
        <v xml:space="preserve">   Préparations alimentaires, n.d.a.</v>
      </c>
      <c r="C6744">
        <v>3922561</v>
      </c>
      <c r="D6744">
        <v>8741</v>
      </c>
    </row>
    <row r="6745" spans="1:4" x14ac:dyDescent="0.25">
      <c r="A6745" t="str">
        <f>T("   220410")</f>
        <v xml:space="preserve">   220410</v>
      </c>
      <c r="B6745" t="str">
        <f>T("   Vins mousseux produits à partir de raisins frais")</f>
        <v xml:space="preserve">   Vins mousseux produits à partir de raisins frais</v>
      </c>
      <c r="C6745">
        <v>2202714</v>
      </c>
      <c r="D6745">
        <v>8841</v>
      </c>
    </row>
    <row r="6746" spans="1:4" x14ac:dyDescent="0.25">
      <c r="A6746" t="str">
        <f>T("   220421")</f>
        <v xml:space="preserve">   220421</v>
      </c>
      <c r="B6746"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746">
        <v>1305360</v>
      </c>
      <c r="D6746">
        <v>990</v>
      </c>
    </row>
    <row r="6747" spans="1:4" x14ac:dyDescent="0.25">
      <c r="A6747" t="str">
        <f>T("   220429")</f>
        <v xml:space="preserve">   220429</v>
      </c>
      <c r="B6747"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6747">
        <v>7685801</v>
      </c>
      <c r="D6747">
        <v>26125</v>
      </c>
    </row>
    <row r="6748" spans="1:4" x14ac:dyDescent="0.25">
      <c r="A6748" t="str">
        <f>T("   220510")</f>
        <v xml:space="preserve">   220510</v>
      </c>
      <c r="B6748"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6748">
        <v>1312576</v>
      </c>
      <c r="D6748">
        <v>5895</v>
      </c>
    </row>
    <row r="6749" spans="1:4" x14ac:dyDescent="0.25">
      <c r="A6749" t="str">
        <f>T("   220590")</f>
        <v xml:space="preserve">   220590</v>
      </c>
      <c r="B6749"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6749">
        <v>121163</v>
      </c>
      <c r="D6749">
        <v>650</v>
      </c>
    </row>
    <row r="6750" spans="1:4" x14ac:dyDescent="0.25">
      <c r="A6750" t="str">
        <f>T("   220870")</f>
        <v xml:space="preserve">   220870</v>
      </c>
      <c r="B6750" t="str">
        <f>T("   LIQUEURS")</f>
        <v xml:space="preserve">   LIQUEURS</v>
      </c>
      <c r="C6750">
        <v>156118</v>
      </c>
      <c r="D6750">
        <v>1106</v>
      </c>
    </row>
    <row r="6751" spans="1:4" x14ac:dyDescent="0.25">
      <c r="A6751" t="str">
        <f>T("   250510")</f>
        <v xml:space="preserve">   250510</v>
      </c>
      <c r="B6751" t="str">
        <f>T("   Sables siliceux et sables quartzeux, même colorés")</f>
        <v xml:space="preserve">   Sables siliceux et sables quartzeux, même colorés</v>
      </c>
      <c r="C6751">
        <v>3803486</v>
      </c>
      <c r="D6751">
        <v>24000</v>
      </c>
    </row>
    <row r="6752" spans="1:4" x14ac:dyDescent="0.25">
      <c r="A6752" t="str">
        <f>T("   250590")</f>
        <v xml:space="preserve">   250590</v>
      </c>
      <c r="B6752"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6752">
        <v>3779028</v>
      </c>
      <c r="D6752">
        <v>24000</v>
      </c>
    </row>
    <row r="6753" spans="1:4" x14ac:dyDescent="0.25">
      <c r="A6753" t="str">
        <f>T("   251710")</f>
        <v xml:space="preserve">   251710</v>
      </c>
      <c r="B6753"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6753">
        <v>6888719</v>
      </c>
      <c r="D6753">
        <v>48224</v>
      </c>
    </row>
    <row r="6754" spans="1:4" x14ac:dyDescent="0.25">
      <c r="A6754" t="str">
        <f>T("   252020")</f>
        <v xml:space="preserve">   252020</v>
      </c>
      <c r="B6754" t="str">
        <f>T("   Plâtres, même colorés ou additionnés de faibles quantités d'accélérateurs ou de retardateurs")</f>
        <v xml:space="preserve">   Plâtres, même colorés ou additionnés de faibles quantités d'accélérateurs ou de retardateurs</v>
      </c>
      <c r="C6754">
        <v>1759940</v>
      </c>
      <c r="D6754">
        <v>10500</v>
      </c>
    </row>
    <row r="6755" spans="1:4" x14ac:dyDescent="0.25">
      <c r="A6755" t="str">
        <f>T("   252329")</f>
        <v xml:space="preserve">   252329</v>
      </c>
      <c r="B6755" t="str">
        <f>T("   Ciment Portland normal ou modéré (à l'excl. des ciments Portland blancs, même colorés artificiellement)")</f>
        <v xml:space="preserve">   Ciment Portland normal ou modéré (à l'excl. des ciments Portland blancs, même colorés artificiellement)</v>
      </c>
      <c r="C6755">
        <v>51834</v>
      </c>
      <c r="D6755">
        <v>260</v>
      </c>
    </row>
    <row r="6756" spans="1:4" x14ac:dyDescent="0.25">
      <c r="A6756" t="str">
        <f>T("   252390")</f>
        <v xml:space="preserve">   252390</v>
      </c>
      <c r="B6756" t="str">
        <f>T("   Ciments, même colorés (à l'excl. des ciments Portland et des ciments alumineux)")</f>
        <v xml:space="preserve">   Ciments, même colorés (à l'excl. des ciments Portland et des ciments alumineux)</v>
      </c>
      <c r="C6756">
        <v>6060389</v>
      </c>
      <c r="D6756">
        <v>19450</v>
      </c>
    </row>
    <row r="6757" spans="1:4" x14ac:dyDescent="0.25">
      <c r="A6757" t="str">
        <f>T("   253090")</f>
        <v xml:space="preserve">   253090</v>
      </c>
      <c r="B6757" t="str">
        <f>T("   Sulfures d'arsenic, alunite, terre de pouzzolane, terres colorantes et autres matières minérales, n.d.a.")</f>
        <v xml:space="preserve">   Sulfures d'arsenic, alunite, terre de pouzzolane, terres colorantes et autres matières minérales, n.d.a.</v>
      </c>
      <c r="C6757">
        <v>4198144</v>
      </c>
      <c r="D6757">
        <v>22110</v>
      </c>
    </row>
    <row r="6758" spans="1:4" x14ac:dyDescent="0.25">
      <c r="A6758" t="str">
        <f>T("   271019")</f>
        <v xml:space="preserve">   271019</v>
      </c>
      <c r="B6758" t="str">
        <f>T("   Huiles moyennes et préparations, de pétrole ou de minéraux bitumineux, n.d.a.")</f>
        <v xml:space="preserve">   Huiles moyennes et préparations, de pétrole ou de minéraux bitumineux, n.d.a.</v>
      </c>
      <c r="C6758">
        <v>1046892271</v>
      </c>
      <c r="D6758">
        <v>3000055</v>
      </c>
    </row>
    <row r="6759" spans="1:4" x14ac:dyDescent="0.25">
      <c r="A6759" t="str">
        <f>T("   271220")</f>
        <v xml:space="preserve">   271220</v>
      </c>
      <c r="B6759" t="str">
        <f>T("   Paraffine contenant en poids &lt; 0,75% d'huile")</f>
        <v xml:space="preserve">   Paraffine contenant en poids &lt; 0,75% d'huile</v>
      </c>
      <c r="C6759">
        <v>271968</v>
      </c>
      <c r="D6759">
        <v>200</v>
      </c>
    </row>
    <row r="6760" spans="1:4" x14ac:dyDescent="0.25">
      <c r="A6760" t="str">
        <f>T("   281990")</f>
        <v xml:space="preserve">   281990</v>
      </c>
      <c r="B6760" t="str">
        <f>T("   Oxydes et hydroxydes de chrome (à l'excl. du trioxyde)")</f>
        <v xml:space="preserve">   Oxydes et hydroxydes de chrome (à l'excl. du trioxyde)</v>
      </c>
      <c r="C6760">
        <v>3305402</v>
      </c>
      <c r="D6760">
        <v>686</v>
      </c>
    </row>
    <row r="6761" spans="1:4" x14ac:dyDescent="0.25">
      <c r="A6761" t="str">
        <f>T("   282110")</f>
        <v xml:space="preserve">   282110</v>
      </c>
      <c r="B6761" t="str">
        <f>T("   Oxydes et hydroxydes de fer")</f>
        <v xml:space="preserve">   Oxydes et hydroxydes de fer</v>
      </c>
      <c r="C6761">
        <v>2894010</v>
      </c>
      <c r="D6761">
        <v>2537</v>
      </c>
    </row>
    <row r="6762" spans="1:4" x14ac:dyDescent="0.25">
      <c r="A6762" t="str">
        <f>T("   282300")</f>
        <v xml:space="preserve">   282300</v>
      </c>
      <c r="B6762" t="str">
        <f>T("   Oxydes de titane")</f>
        <v xml:space="preserve">   Oxydes de titane</v>
      </c>
      <c r="C6762">
        <v>57382148</v>
      </c>
      <c r="D6762">
        <v>32900</v>
      </c>
    </row>
    <row r="6763" spans="1:4" x14ac:dyDescent="0.25">
      <c r="A6763" t="str">
        <f>T("   283522")</f>
        <v xml:space="preserve">   283522</v>
      </c>
      <c r="B6763" t="str">
        <f>T("   Phosphates de mono- ou de disodium")</f>
        <v xml:space="preserve">   Phosphates de mono- ou de disodium</v>
      </c>
      <c r="C6763">
        <v>444741</v>
      </c>
      <c r="D6763">
        <v>500</v>
      </c>
    </row>
    <row r="6764" spans="1:4" x14ac:dyDescent="0.25">
      <c r="A6764" t="str">
        <f>T("   283529")</f>
        <v xml:space="preserve">   283529</v>
      </c>
      <c r="B6764" t="str">
        <f>T("   PHOSPHATES (À L'EXCL. DES PHOSPHATES DE MONOSODIUM, DE DISODIUM, DE POTASSIUM, DE CALCIUM ET DU MERCURE)")</f>
        <v xml:space="preserve">   PHOSPHATES (À L'EXCL. DES PHOSPHATES DE MONOSODIUM, DE DISODIUM, DE POTASSIUM, DE CALCIUM ET DU MERCURE)</v>
      </c>
      <c r="C6764">
        <v>1485447</v>
      </c>
      <c r="D6764">
        <v>1050</v>
      </c>
    </row>
    <row r="6765" spans="1:4" x14ac:dyDescent="0.25">
      <c r="A6765" t="str">
        <f>T("   283650")</f>
        <v xml:space="preserve">   283650</v>
      </c>
      <c r="B6765" t="str">
        <f>T("   Carbonate de calcium")</f>
        <v xml:space="preserve">   Carbonate de calcium</v>
      </c>
      <c r="C6765">
        <v>44284840</v>
      </c>
      <c r="D6765">
        <v>418250</v>
      </c>
    </row>
    <row r="6766" spans="1:4" x14ac:dyDescent="0.25">
      <c r="A6766" t="str">
        <f>T("   290110")</f>
        <v xml:space="preserve">   290110</v>
      </c>
      <c r="B6766" t="str">
        <f>T("   Hydrocarbures acycliques, saturés")</f>
        <v xml:space="preserve">   Hydrocarbures acycliques, saturés</v>
      </c>
      <c r="C6766">
        <v>80104156</v>
      </c>
      <c r="D6766">
        <v>86400</v>
      </c>
    </row>
    <row r="6767" spans="1:4" x14ac:dyDescent="0.25">
      <c r="A6767" t="str">
        <f>T("   291560")</f>
        <v xml:space="preserve">   291560</v>
      </c>
      <c r="B6767" t="str">
        <f>T("   Acides butanoïques, acides pentanoïques, leurs sels et leurs esters")</f>
        <v xml:space="preserve">   Acides butanoïques, acides pentanoïques, leurs sels et leurs esters</v>
      </c>
      <c r="C6767">
        <v>644153</v>
      </c>
      <c r="D6767">
        <v>380</v>
      </c>
    </row>
    <row r="6768" spans="1:4" x14ac:dyDescent="0.25">
      <c r="A6768" t="str">
        <f>T("   291734")</f>
        <v xml:space="preserve">   291734</v>
      </c>
      <c r="B6768" t="str">
        <f>T("   ESTERS DE L'ACIDE ORTHOPHTALIQUE (À L'EXCL. DES ORTHOPHTALATES DE DIOCTYLE, DE DINONYLE OU DE DIDÉCYLE)")</f>
        <v xml:space="preserve">   ESTERS DE L'ACIDE ORTHOPHTALIQUE (À L'EXCL. DES ORTHOPHTALATES DE DIOCTYLE, DE DINONYLE OU DE DIDÉCYLE)</v>
      </c>
      <c r="C6768">
        <v>781904</v>
      </c>
      <c r="D6768">
        <v>600</v>
      </c>
    </row>
    <row r="6769" spans="1:4" x14ac:dyDescent="0.25">
      <c r="A6769" t="str">
        <f>T("   300420")</f>
        <v xml:space="preserve">   300420</v>
      </c>
      <c r="B6769" t="s">
        <v>79</v>
      </c>
      <c r="C6769">
        <v>242057</v>
      </c>
      <c r="D6769">
        <v>0.8</v>
      </c>
    </row>
    <row r="6770" spans="1:4" x14ac:dyDescent="0.25">
      <c r="A6770" t="str">
        <f>T("   300440")</f>
        <v xml:space="preserve">   300440</v>
      </c>
      <c r="B6770" t="s">
        <v>82</v>
      </c>
      <c r="C6770">
        <v>2256612</v>
      </c>
      <c r="D6770">
        <v>2</v>
      </c>
    </row>
    <row r="6771" spans="1:4" x14ac:dyDescent="0.25">
      <c r="A6771" t="str">
        <f>T("   300490")</f>
        <v xml:space="preserve">   300490</v>
      </c>
      <c r="B6771" t="s">
        <v>84</v>
      </c>
      <c r="C6771">
        <v>33177746</v>
      </c>
      <c r="D6771">
        <v>1944</v>
      </c>
    </row>
    <row r="6772" spans="1:4" x14ac:dyDescent="0.25">
      <c r="A6772" t="str">
        <f>T("   300590")</f>
        <v xml:space="preserve">   300590</v>
      </c>
      <c r="B6772" t="s">
        <v>85</v>
      </c>
      <c r="C6772">
        <v>2601124</v>
      </c>
      <c r="D6772">
        <v>1181</v>
      </c>
    </row>
    <row r="6773" spans="1:4" x14ac:dyDescent="0.25">
      <c r="A6773" t="str">
        <f>T("   320300")</f>
        <v xml:space="preserve">   320300</v>
      </c>
      <c r="B6773" t="s">
        <v>91</v>
      </c>
      <c r="C6773">
        <v>17461249</v>
      </c>
      <c r="D6773">
        <v>27650</v>
      </c>
    </row>
    <row r="6774" spans="1:4" x14ac:dyDescent="0.25">
      <c r="A6774" t="str">
        <f>T("   320417")</f>
        <v xml:space="preserve">   320417</v>
      </c>
      <c r="B6774" t="s">
        <v>96</v>
      </c>
      <c r="C6774">
        <v>1055453</v>
      </c>
      <c r="D6774">
        <v>230</v>
      </c>
    </row>
    <row r="6775" spans="1:4" x14ac:dyDescent="0.25">
      <c r="A6775" t="str">
        <f>T("   320490")</f>
        <v xml:space="preserve">   320490</v>
      </c>
      <c r="B6775" t="str">
        <f>T("   Produits organiques synthétiques des types utilisés comme luminophores, même de constitution chimique définie")</f>
        <v xml:space="preserve">   Produits organiques synthétiques des types utilisés comme luminophores, même de constitution chimique définie</v>
      </c>
      <c r="C6775">
        <v>3596629</v>
      </c>
      <c r="D6775">
        <v>300</v>
      </c>
    </row>
    <row r="6776" spans="1:4" x14ac:dyDescent="0.25">
      <c r="A6776" t="str">
        <f>T("   320611")</f>
        <v xml:space="preserve">   320611</v>
      </c>
      <c r="B6776" t="s">
        <v>98</v>
      </c>
      <c r="C6776">
        <v>36456945</v>
      </c>
      <c r="D6776">
        <v>20700</v>
      </c>
    </row>
    <row r="6777" spans="1:4" x14ac:dyDescent="0.25">
      <c r="A6777" t="str">
        <f>T("   320620")</f>
        <v xml:space="preserve">   320620</v>
      </c>
      <c r="B6777" t="s">
        <v>99</v>
      </c>
      <c r="C6777">
        <v>4351081</v>
      </c>
      <c r="D6777">
        <v>1057</v>
      </c>
    </row>
    <row r="6778" spans="1:4" x14ac:dyDescent="0.25">
      <c r="A6778" t="str">
        <f>T("   320990")</f>
        <v xml:space="preserve">   320990</v>
      </c>
      <c r="B6778"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6778">
        <v>1233968</v>
      </c>
      <c r="D6778">
        <v>2368</v>
      </c>
    </row>
    <row r="6779" spans="1:4" x14ac:dyDescent="0.25">
      <c r="A6779" t="str">
        <f>T("   321000")</f>
        <v xml:space="preserve">   321000</v>
      </c>
      <c r="B677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6779">
        <v>961427</v>
      </c>
      <c r="D6779">
        <v>1335</v>
      </c>
    </row>
    <row r="6780" spans="1:4" x14ac:dyDescent="0.25">
      <c r="A6780" t="str">
        <f>T("   321290")</f>
        <v xml:space="preserve">   321290</v>
      </c>
      <c r="B6780" t="s">
        <v>103</v>
      </c>
      <c r="C6780">
        <v>1814385</v>
      </c>
      <c r="D6780">
        <v>482</v>
      </c>
    </row>
    <row r="6781" spans="1:4" x14ac:dyDescent="0.25">
      <c r="A6781" t="str">
        <f>T("   321390")</f>
        <v xml:space="preserve">   321390</v>
      </c>
      <c r="B6781" t="str">
        <f>T("   Couleurs pour la peinture artistique, l'enseignement, la peinture des enseignes, la modification des nuances, l'amusement et couleurs simil., en pastilles, tubes, pots, flacons, godets ou conditionnements simil. (à l'excl. des couleurs en assortiments)")</f>
        <v xml:space="preserve">   Couleurs pour la peinture artistique, l'enseignement, la peinture des enseignes, la modification des nuances, l'amusement et couleurs simil., en pastilles, tubes, pots, flacons, godets ou conditionnements simil. (à l'excl. des couleurs en assortiments)</v>
      </c>
      <c r="C6781">
        <v>715652</v>
      </c>
      <c r="D6781">
        <v>428</v>
      </c>
    </row>
    <row r="6782" spans="1:4" x14ac:dyDescent="0.25">
      <c r="A6782" t="str">
        <f>T("   321410")</f>
        <v xml:space="preserve">   321410</v>
      </c>
      <c r="B6782" t="str">
        <f>T("   Mastic de vitrier, ciments de résine et autres mastics; enduits utilisés en peinture")</f>
        <v xml:space="preserve">   Mastic de vitrier, ciments de résine et autres mastics; enduits utilisés en peinture</v>
      </c>
      <c r="C6782">
        <v>5488575</v>
      </c>
      <c r="D6782">
        <v>5839</v>
      </c>
    </row>
    <row r="6783" spans="1:4" x14ac:dyDescent="0.25">
      <c r="A6783" t="str">
        <f>T("   321511")</f>
        <v xml:space="preserve">   321511</v>
      </c>
      <c r="B6783" t="str">
        <f>T("   Encres d'imprimerie, noires, même concentrées ou sous formes solides")</f>
        <v xml:space="preserve">   Encres d'imprimerie, noires, même concentrées ou sous formes solides</v>
      </c>
      <c r="C6783">
        <v>31034</v>
      </c>
      <c r="D6783">
        <v>23</v>
      </c>
    </row>
    <row r="6784" spans="1:4" x14ac:dyDescent="0.25">
      <c r="A6784" t="str">
        <f>T("   321519")</f>
        <v xml:space="preserve">   321519</v>
      </c>
      <c r="B6784" t="str">
        <f>T("   Encres d'imprimerie, même concentrées ou sous formes solides (à l'excl. des encres noires)")</f>
        <v xml:space="preserve">   Encres d'imprimerie, même concentrées ou sous formes solides (à l'excl. des encres noires)</v>
      </c>
      <c r="C6784">
        <v>92294</v>
      </c>
      <c r="D6784">
        <v>130</v>
      </c>
    </row>
    <row r="6785" spans="1:4" x14ac:dyDescent="0.25">
      <c r="A6785" t="str">
        <f>T("   330499")</f>
        <v xml:space="preserve">   330499</v>
      </c>
      <c r="B6785" t="s">
        <v>106</v>
      </c>
      <c r="C6785">
        <v>7252748</v>
      </c>
      <c r="D6785">
        <v>10481</v>
      </c>
    </row>
    <row r="6786" spans="1:4" x14ac:dyDescent="0.25">
      <c r="A6786" t="str">
        <f>T("   340111")</f>
        <v xml:space="preserve">   340111</v>
      </c>
      <c r="B6786" t="s">
        <v>107</v>
      </c>
      <c r="C6786">
        <v>8062761</v>
      </c>
      <c r="D6786">
        <v>32171</v>
      </c>
    </row>
    <row r="6787" spans="1:4" x14ac:dyDescent="0.25">
      <c r="A6787" t="str">
        <f>T("   340119")</f>
        <v xml:space="preserve">   340119</v>
      </c>
      <c r="B6787" t="s">
        <v>108</v>
      </c>
      <c r="C6787">
        <v>2010589</v>
      </c>
      <c r="D6787">
        <v>3086</v>
      </c>
    </row>
    <row r="6788" spans="1:4" x14ac:dyDescent="0.25">
      <c r="A6788" t="str">
        <f>T("   340219")</f>
        <v xml:space="preserve">   340219</v>
      </c>
      <c r="B6788"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788">
        <v>5618107</v>
      </c>
      <c r="D6788">
        <v>6604</v>
      </c>
    </row>
    <row r="6789" spans="1:4" x14ac:dyDescent="0.25">
      <c r="A6789" t="str">
        <f>T("   340399")</f>
        <v xml:space="preserve">   340399</v>
      </c>
      <c r="B6789" t="s">
        <v>112</v>
      </c>
      <c r="C6789">
        <v>63807098</v>
      </c>
      <c r="D6789">
        <v>80015</v>
      </c>
    </row>
    <row r="6790" spans="1:4" x14ac:dyDescent="0.25">
      <c r="A6790" t="str">
        <f>T("   340600")</f>
        <v xml:space="preserve">   340600</v>
      </c>
      <c r="B6790" t="str">
        <f>T("   Bougies, chandelles, cierges et articles simil.")</f>
        <v xml:space="preserve">   Bougies, chandelles, cierges et articles simil.</v>
      </c>
      <c r="C6790">
        <v>4922409</v>
      </c>
      <c r="D6790">
        <v>11782</v>
      </c>
    </row>
    <row r="6791" spans="1:4" x14ac:dyDescent="0.25">
      <c r="A6791" t="str">
        <f>T("   350699")</f>
        <v xml:space="preserve">   350699</v>
      </c>
      <c r="B6791" t="str">
        <f>T("   Colles et autres adhésifs préparés, n.d.a.")</f>
        <v xml:space="preserve">   Colles et autres adhésifs préparés, n.d.a.</v>
      </c>
      <c r="C6791">
        <v>42820412</v>
      </c>
      <c r="D6791">
        <v>84298</v>
      </c>
    </row>
    <row r="6792" spans="1:4" x14ac:dyDescent="0.25">
      <c r="A6792" t="str">
        <f>T("   370400")</f>
        <v xml:space="preserve">   370400</v>
      </c>
      <c r="B6792" t="str">
        <f>T("   PLAQUES, PELLICULES, FILMS, PAPIERS, CARTONS ET TEXTILES, PHOTOGRAPHIQUES, IMPRESSIONNÉS MAIS NON-DÉVELOPPÉS")</f>
        <v xml:space="preserve">   PLAQUES, PELLICULES, FILMS, PAPIERS, CARTONS ET TEXTILES, PHOTOGRAPHIQUES, IMPRESSIONNÉS MAIS NON-DÉVELOPPÉS</v>
      </c>
      <c r="C6792">
        <v>1502149</v>
      </c>
      <c r="D6792">
        <v>1185</v>
      </c>
    </row>
    <row r="6793" spans="1:4" x14ac:dyDescent="0.25">
      <c r="A6793" t="str">
        <f>T("   370710")</f>
        <v xml:space="preserve">   370710</v>
      </c>
      <c r="B6793" t="str">
        <f>T("   Emulsions pour la sensibilisation des surfaces, pour usages photographiques")</f>
        <v xml:space="preserve">   Emulsions pour la sensibilisation des surfaces, pour usages photographiques</v>
      </c>
      <c r="C6793">
        <v>8557654</v>
      </c>
      <c r="D6793">
        <v>13015</v>
      </c>
    </row>
    <row r="6794" spans="1:4" x14ac:dyDescent="0.25">
      <c r="A6794" t="str">
        <f>T("   380290")</f>
        <v xml:space="preserve">   380290</v>
      </c>
      <c r="B6794"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6794">
        <v>195968</v>
      </c>
      <c r="D6794">
        <v>100</v>
      </c>
    </row>
    <row r="6795" spans="1:4" x14ac:dyDescent="0.25">
      <c r="A6795" t="str">
        <f>T("   380850")</f>
        <v xml:space="preserve">   380850</v>
      </c>
      <c r="B6795" t="s">
        <v>125</v>
      </c>
      <c r="C6795">
        <v>703753</v>
      </c>
      <c r="D6795">
        <v>710</v>
      </c>
    </row>
    <row r="6796" spans="1:4" x14ac:dyDescent="0.25">
      <c r="A6796" t="str">
        <f>T("   380891")</f>
        <v xml:space="preserve">   380891</v>
      </c>
      <c r="B6796" t="str">
        <f>T("   INSECTICIDES (À L'EXCL. DES MARCHANDISES DU N° 3808.50)")</f>
        <v xml:space="preserve">   INSECTICIDES (À L'EXCL. DES MARCHANDISES DU N° 3808.50)</v>
      </c>
      <c r="C6796">
        <v>2537253</v>
      </c>
      <c r="D6796">
        <v>2020</v>
      </c>
    </row>
    <row r="6797" spans="1:4" x14ac:dyDescent="0.25">
      <c r="A6797" t="str">
        <f>T("   380899")</f>
        <v xml:space="preserve">   380899</v>
      </c>
      <c r="B6797" t="s">
        <v>126</v>
      </c>
      <c r="C6797">
        <v>321421</v>
      </c>
      <c r="D6797">
        <v>963</v>
      </c>
    </row>
    <row r="6798" spans="1:4" x14ac:dyDescent="0.25">
      <c r="A6798" t="str">
        <f>T("   381400")</f>
        <v xml:space="preserve">   381400</v>
      </c>
      <c r="B679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6798">
        <v>30055221</v>
      </c>
      <c r="D6798">
        <v>92905</v>
      </c>
    </row>
    <row r="6799" spans="1:4" x14ac:dyDescent="0.25">
      <c r="A6799" t="str">
        <f>T("   382200")</f>
        <v xml:space="preserve">   382200</v>
      </c>
      <c r="B6799" t="s">
        <v>133</v>
      </c>
      <c r="C6799">
        <v>4673716</v>
      </c>
      <c r="D6799">
        <v>60</v>
      </c>
    </row>
    <row r="6800" spans="1:4" x14ac:dyDescent="0.25">
      <c r="A6800" t="str">
        <f>T("   382440")</f>
        <v xml:space="preserve">   382440</v>
      </c>
      <c r="B6800" t="str">
        <f>T("   Additifs préparés pour ciments, mortiers ou bétons")</f>
        <v xml:space="preserve">   Additifs préparés pour ciments, mortiers ou bétons</v>
      </c>
      <c r="C6800">
        <v>226457573</v>
      </c>
      <c r="D6800">
        <v>353150</v>
      </c>
    </row>
    <row r="6801" spans="1:4" x14ac:dyDescent="0.25">
      <c r="A6801" t="str">
        <f>T("   390190")</f>
        <v xml:space="preserve">   390190</v>
      </c>
      <c r="B6801"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6801">
        <v>62605478</v>
      </c>
      <c r="D6801">
        <v>175390</v>
      </c>
    </row>
    <row r="6802" spans="1:4" x14ac:dyDescent="0.25">
      <c r="A6802" t="str">
        <f>T("   390210")</f>
        <v xml:space="preserve">   390210</v>
      </c>
      <c r="B6802" t="str">
        <f>T("   Polypropylène, sous formes primaires")</f>
        <v xml:space="preserve">   Polypropylène, sous formes primaires</v>
      </c>
      <c r="C6802">
        <v>5001039</v>
      </c>
      <c r="D6802">
        <v>15000</v>
      </c>
    </row>
    <row r="6803" spans="1:4" x14ac:dyDescent="0.25">
      <c r="A6803" t="str">
        <f>T("   390290")</f>
        <v xml:space="preserve">   390290</v>
      </c>
      <c r="B6803" t="str">
        <f>T("   Polymères de propylène ou d'autres oléfines, sous formes primaires (à l'excl. du polypropylène, du polyisobutylène et des copolymères de propylène)")</f>
        <v xml:space="preserve">   Polymères de propylène ou d'autres oléfines, sous formes primaires (à l'excl. du polypropylène, du polyisobutylène et des copolymères de propylène)</v>
      </c>
      <c r="C6803">
        <v>7153015</v>
      </c>
      <c r="D6803">
        <v>10870</v>
      </c>
    </row>
    <row r="6804" spans="1:4" x14ac:dyDescent="0.25">
      <c r="A6804" t="str">
        <f>T("   390390")</f>
        <v xml:space="preserve">   390390</v>
      </c>
      <c r="B6804"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6804">
        <v>279341</v>
      </c>
      <c r="D6804">
        <v>240</v>
      </c>
    </row>
    <row r="6805" spans="1:4" x14ac:dyDescent="0.25">
      <c r="A6805" t="str">
        <f>T("   390512")</f>
        <v xml:space="preserve">   390512</v>
      </c>
      <c r="B6805" t="str">
        <f>T("   Poly[acétate de vinyle], en dispersion aqueuse")</f>
        <v xml:space="preserve">   Poly[acétate de vinyle], en dispersion aqueuse</v>
      </c>
      <c r="C6805">
        <v>28866195</v>
      </c>
      <c r="D6805">
        <v>40700</v>
      </c>
    </row>
    <row r="6806" spans="1:4" x14ac:dyDescent="0.25">
      <c r="A6806" t="str">
        <f>T("   390521")</f>
        <v xml:space="preserve">   390521</v>
      </c>
      <c r="B6806" t="str">
        <f>T("   Copolymères d'acétate de vinyle, en dispersion aqueuse")</f>
        <v xml:space="preserve">   Copolymères d'acétate de vinyle, en dispersion aqueuse</v>
      </c>
      <c r="C6806">
        <v>19491713</v>
      </c>
      <c r="D6806">
        <v>29000</v>
      </c>
    </row>
    <row r="6807" spans="1:4" x14ac:dyDescent="0.25">
      <c r="A6807" t="str">
        <f>T("   390529")</f>
        <v xml:space="preserve">   390529</v>
      </c>
      <c r="B6807" t="str">
        <f>T("   Copolymères d'acétate de vinyle, sous formes primaires (à l'excl. des produits en dispersion aqueuse)")</f>
        <v xml:space="preserve">   Copolymères d'acétate de vinyle, sous formes primaires (à l'excl. des produits en dispersion aqueuse)</v>
      </c>
      <c r="C6807">
        <v>4303754</v>
      </c>
      <c r="D6807">
        <v>4880</v>
      </c>
    </row>
    <row r="6808" spans="1:4" x14ac:dyDescent="0.25">
      <c r="A6808" t="str">
        <f>T("   390690")</f>
        <v xml:space="preserve">   390690</v>
      </c>
      <c r="B6808" t="str">
        <f>T("   Polymères acryliques, sous formes primaires (à l'excl. du poly[méthacrylate de méthyle])")</f>
        <v xml:space="preserve">   Polymères acryliques, sous formes primaires (à l'excl. du poly[méthacrylate de méthyle])</v>
      </c>
      <c r="C6808">
        <v>41654006</v>
      </c>
      <c r="D6808">
        <v>41450</v>
      </c>
    </row>
    <row r="6809" spans="1:4" x14ac:dyDescent="0.25">
      <c r="A6809" t="str">
        <f>T("   390720")</f>
        <v xml:space="preserve">   390720</v>
      </c>
      <c r="B6809" t="str">
        <f>T("   Polyéthers, sous formes primaires (à l'excl. des polyacétals)")</f>
        <v xml:space="preserve">   Polyéthers, sous formes primaires (à l'excl. des polyacétals)</v>
      </c>
      <c r="C6809">
        <v>383054</v>
      </c>
      <c r="D6809">
        <v>240</v>
      </c>
    </row>
    <row r="6810" spans="1:4" x14ac:dyDescent="0.25">
      <c r="A6810" t="str">
        <f>T("   390750")</f>
        <v xml:space="preserve">   390750</v>
      </c>
      <c r="B6810" t="str">
        <f>T("   Résines alkydes, sous formes primaires")</f>
        <v xml:space="preserve">   Résines alkydes, sous formes primaires</v>
      </c>
      <c r="C6810">
        <v>68904663</v>
      </c>
      <c r="D6810">
        <v>82588</v>
      </c>
    </row>
    <row r="6811" spans="1:4" x14ac:dyDescent="0.25">
      <c r="A6811" t="str">
        <f>T("   390799")</f>
        <v xml:space="preserve">   390799</v>
      </c>
      <c r="B6811"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6811">
        <v>63896250</v>
      </c>
      <c r="D6811">
        <v>52834</v>
      </c>
    </row>
    <row r="6812" spans="1:4" x14ac:dyDescent="0.25">
      <c r="A6812" t="str">
        <f>T("   391231")</f>
        <v xml:space="preserve">   391231</v>
      </c>
      <c r="B6812" t="str">
        <f>T("   Carboxyméthylcellulose et ses sels, sous formes primaires")</f>
        <v xml:space="preserve">   Carboxyméthylcellulose et ses sels, sous formes primaires</v>
      </c>
      <c r="C6812">
        <v>23065076</v>
      </c>
      <c r="D6812">
        <v>6100</v>
      </c>
    </row>
    <row r="6813" spans="1:4" x14ac:dyDescent="0.25">
      <c r="A6813" t="str">
        <f>T("   392119")</f>
        <v xml:space="preserve">   392119</v>
      </c>
      <c r="B6813" t="s">
        <v>154</v>
      </c>
      <c r="C6813">
        <v>16159162</v>
      </c>
      <c r="D6813">
        <v>3981</v>
      </c>
    </row>
    <row r="6814" spans="1:4" x14ac:dyDescent="0.25">
      <c r="A6814" t="str">
        <f>T("   392210")</f>
        <v xml:space="preserve">   392210</v>
      </c>
      <c r="B6814" t="str">
        <f>T("   Baignoires, douches, éviers et lavabos, en matières plastiques")</f>
        <v xml:space="preserve">   Baignoires, douches, éviers et lavabos, en matières plastiques</v>
      </c>
      <c r="C6814">
        <v>1705496</v>
      </c>
      <c r="D6814">
        <v>330</v>
      </c>
    </row>
    <row r="6815" spans="1:4" x14ac:dyDescent="0.25">
      <c r="A6815" t="str">
        <f>T("   392310")</f>
        <v xml:space="preserve">   392310</v>
      </c>
      <c r="B6815" t="str">
        <f>T("   Boîtes, caisses, casiers et articles simil. pour le transport ou l'emballage, en matières plastiques")</f>
        <v xml:space="preserve">   Boîtes, caisses, casiers et articles simil. pour le transport ou l'emballage, en matières plastiques</v>
      </c>
      <c r="C6815">
        <v>53416541</v>
      </c>
      <c r="D6815">
        <v>37997</v>
      </c>
    </row>
    <row r="6816" spans="1:4" x14ac:dyDescent="0.25">
      <c r="A6816" t="str">
        <f>T("   392329")</f>
        <v xml:space="preserve">   392329</v>
      </c>
      <c r="B6816" t="str">
        <f>T("   Sacs, sachets, pochettes et cornets, en matières plastiques (autres que les polymères de l'éthylène)")</f>
        <v xml:space="preserve">   Sacs, sachets, pochettes et cornets, en matières plastiques (autres que les polymères de l'éthylène)</v>
      </c>
      <c r="C6816">
        <v>88092897</v>
      </c>
      <c r="D6816">
        <v>51029</v>
      </c>
    </row>
    <row r="6817" spans="1:4" x14ac:dyDescent="0.25">
      <c r="A6817" t="str">
        <f>T("   392330")</f>
        <v xml:space="preserve">   392330</v>
      </c>
      <c r="B6817" t="str">
        <f>T("   Bonbonnes, bouteilles, flacons et articles simil. pour le transport ou l'emballage, en matières plastiques")</f>
        <v xml:space="preserve">   Bonbonnes, bouteilles, flacons et articles simil. pour le transport ou l'emballage, en matières plastiques</v>
      </c>
      <c r="C6817">
        <v>92149261</v>
      </c>
      <c r="D6817">
        <v>42442</v>
      </c>
    </row>
    <row r="6818" spans="1:4" x14ac:dyDescent="0.25">
      <c r="A6818" t="str">
        <f>T("   392350")</f>
        <v xml:space="preserve">   392350</v>
      </c>
      <c r="B6818" t="str">
        <f>T("   Bouchons, couvercles, capsules et autres dispositifs de fermeture, en matières plastiques")</f>
        <v xml:space="preserve">   Bouchons, couvercles, capsules et autres dispositifs de fermeture, en matières plastiques</v>
      </c>
      <c r="C6818">
        <v>4638293</v>
      </c>
      <c r="D6818">
        <v>2156</v>
      </c>
    </row>
    <row r="6819" spans="1:4" x14ac:dyDescent="0.25">
      <c r="A6819" t="str">
        <f>T("   392410")</f>
        <v xml:space="preserve">   392410</v>
      </c>
      <c r="B6819" t="str">
        <f>T("   Vaisselle et autres articles pour le service de la table ou de la cuisine, en matières plastiques")</f>
        <v xml:space="preserve">   Vaisselle et autres articles pour le service de la table ou de la cuisine, en matières plastiques</v>
      </c>
      <c r="C6819">
        <v>4754278</v>
      </c>
      <c r="D6819">
        <v>10753</v>
      </c>
    </row>
    <row r="6820" spans="1:4" x14ac:dyDescent="0.25">
      <c r="A6820" t="str">
        <f>T("   392490")</f>
        <v xml:space="preserve">   392490</v>
      </c>
      <c r="B6820" t="s">
        <v>157</v>
      </c>
      <c r="C6820">
        <v>25582607</v>
      </c>
      <c r="D6820">
        <v>18486</v>
      </c>
    </row>
    <row r="6821" spans="1:4" x14ac:dyDescent="0.25">
      <c r="A6821" t="str">
        <f>T("   392590")</f>
        <v xml:space="preserve">   392590</v>
      </c>
      <c r="B6821" t="s">
        <v>158</v>
      </c>
      <c r="C6821">
        <v>6392986</v>
      </c>
      <c r="D6821">
        <v>3990</v>
      </c>
    </row>
    <row r="6822" spans="1:4" x14ac:dyDescent="0.25">
      <c r="A6822" t="str">
        <f>T("   392610")</f>
        <v xml:space="preserve">   392610</v>
      </c>
      <c r="B6822" t="str">
        <f>T("   Articles de bureau et articles scolaires, en matières plastiques, n.d.a.")</f>
        <v xml:space="preserve">   Articles de bureau et articles scolaires, en matières plastiques, n.d.a.</v>
      </c>
      <c r="C6822">
        <v>306990</v>
      </c>
      <c r="D6822">
        <v>70</v>
      </c>
    </row>
    <row r="6823" spans="1:4" x14ac:dyDescent="0.25">
      <c r="A6823" t="str">
        <f>T("   392690")</f>
        <v xml:space="preserve">   392690</v>
      </c>
      <c r="B6823" t="str">
        <f>T("   Ouvrages en matières plastiques et ouvrages en autres matières du n° 3901 à 3914, n.d.a.")</f>
        <v xml:space="preserve">   Ouvrages en matières plastiques et ouvrages en autres matières du n° 3901 à 3914, n.d.a.</v>
      </c>
      <c r="C6823">
        <v>27824511</v>
      </c>
      <c r="D6823">
        <v>13959</v>
      </c>
    </row>
    <row r="6824" spans="1:4" x14ac:dyDescent="0.25">
      <c r="A6824" t="str">
        <f>T("   401110")</f>
        <v xml:space="preserve">   401110</v>
      </c>
      <c r="B682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824">
        <v>762167</v>
      </c>
      <c r="D6824">
        <v>100</v>
      </c>
    </row>
    <row r="6825" spans="1:4" x14ac:dyDescent="0.25">
      <c r="A6825" t="str">
        <f>T("   401211")</f>
        <v xml:space="preserve">   401211</v>
      </c>
      <c r="B6825"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825">
        <v>90030</v>
      </c>
      <c r="D6825">
        <v>850</v>
      </c>
    </row>
    <row r="6826" spans="1:4" x14ac:dyDescent="0.25">
      <c r="A6826" t="str">
        <f>T("   401212")</f>
        <v xml:space="preserve">   401212</v>
      </c>
      <c r="B6826" t="str">
        <f>T("   Pneumatiques rechapés, en caoutchouc, des types utilisés pour les autobus ou camions")</f>
        <v xml:space="preserve">   Pneumatiques rechapés, en caoutchouc, des types utilisés pour les autobus ou camions</v>
      </c>
      <c r="C6826">
        <v>3500000</v>
      </c>
      <c r="D6826">
        <v>9750</v>
      </c>
    </row>
    <row r="6827" spans="1:4" x14ac:dyDescent="0.25">
      <c r="A6827" t="str">
        <f>T("   401219")</f>
        <v xml:space="preserve">   401219</v>
      </c>
      <c r="B6827"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6827">
        <v>1068500</v>
      </c>
      <c r="D6827">
        <v>500</v>
      </c>
    </row>
    <row r="6828" spans="1:4" x14ac:dyDescent="0.25">
      <c r="A6828" t="str">
        <f>T("   401220")</f>
        <v xml:space="preserve">   401220</v>
      </c>
      <c r="B6828" t="str">
        <f>T("   Pneumatiques usagés, en caoutchouc")</f>
        <v xml:space="preserve">   Pneumatiques usagés, en caoutchouc</v>
      </c>
      <c r="C6828">
        <v>10891354</v>
      </c>
      <c r="D6828">
        <v>21564</v>
      </c>
    </row>
    <row r="6829" spans="1:4" x14ac:dyDescent="0.25">
      <c r="A6829" t="str">
        <f>T("   401290")</f>
        <v xml:space="preserve">   401290</v>
      </c>
      <c r="B6829" t="str">
        <f>T("   Bandages pleins ou creux [mi-pleins], bandes de roulement amovibles pour pneumatiques et flaps, en caoutchouc")</f>
        <v xml:space="preserve">   Bandages pleins ou creux [mi-pleins], bandes de roulement amovibles pour pneumatiques et flaps, en caoutchouc</v>
      </c>
      <c r="C6829">
        <v>98394</v>
      </c>
      <c r="D6829">
        <v>120</v>
      </c>
    </row>
    <row r="6830" spans="1:4" x14ac:dyDescent="0.25">
      <c r="A6830" t="str">
        <f>T("   401490")</f>
        <v xml:space="preserve">   401490</v>
      </c>
      <c r="B6830"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6830">
        <v>1236793</v>
      </c>
      <c r="D6830">
        <v>137</v>
      </c>
    </row>
    <row r="6831" spans="1:4" x14ac:dyDescent="0.25">
      <c r="A6831" t="str">
        <f>T("   401693")</f>
        <v xml:space="preserve">   401693</v>
      </c>
      <c r="B6831" t="str">
        <f>T("   Joints en caoutchouc vulcanisé non durci (à l'excl. des articles en caoutchouc alvéolaire)")</f>
        <v xml:space="preserve">   Joints en caoutchouc vulcanisé non durci (à l'excl. des articles en caoutchouc alvéolaire)</v>
      </c>
      <c r="C6831">
        <v>19933968</v>
      </c>
      <c r="D6831">
        <v>6696</v>
      </c>
    </row>
    <row r="6832" spans="1:4" x14ac:dyDescent="0.25">
      <c r="A6832" t="str">
        <f>T("   410799")</f>
        <v xml:space="preserve">   410799</v>
      </c>
      <c r="B6832" t="s">
        <v>169</v>
      </c>
      <c r="C6832">
        <v>5355369</v>
      </c>
      <c r="D6832">
        <v>3356</v>
      </c>
    </row>
    <row r="6833" spans="1:4" x14ac:dyDescent="0.25">
      <c r="A6833" t="str">
        <f>T("   420221")</f>
        <v xml:space="preserve">   420221</v>
      </c>
      <c r="B6833"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6833">
        <v>150000</v>
      </c>
      <c r="D6833">
        <v>90</v>
      </c>
    </row>
    <row r="6834" spans="1:4" x14ac:dyDescent="0.25">
      <c r="A6834" t="str">
        <f>T("   420229")</f>
        <v xml:space="preserve">   420229</v>
      </c>
      <c r="B6834"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834">
        <v>380472</v>
      </c>
      <c r="D6834">
        <v>128</v>
      </c>
    </row>
    <row r="6835" spans="1:4" x14ac:dyDescent="0.25">
      <c r="A6835" t="str">
        <f>T("   420299")</f>
        <v xml:space="preserve">   420299</v>
      </c>
      <c r="B6835" t="s">
        <v>174</v>
      </c>
      <c r="C6835">
        <v>150000</v>
      </c>
      <c r="D6835">
        <v>92</v>
      </c>
    </row>
    <row r="6836" spans="1:4" x14ac:dyDescent="0.25">
      <c r="A6836" t="str">
        <f>T("   420330")</f>
        <v xml:space="preserve">   420330</v>
      </c>
      <c r="B6836" t="str">
        <f>T("   Ceintures, ceinturons et baudriers, en cuir naturel ou reconstitué")</f>
        <v xml:space="preserve">   Ceintures, ceinturons et baudriers, en cuir naturel ou reconstitué</v>
      </c>
      <c r="C6836">
        <v>262056</v>
      </c>
      <c r="D6836">
        <v>717</v>
      </c>
    </row>
    <row r="6837" spans="1:4" x14ac:dyDescent="0.25">
      <c r="A6837" t="str">
        <f>T("   420500")</f>
        <v xml:space="preserve">   420500</v>
      </c>
      <c r="B6837" t="s">
        <v>176</v>
      </c>
      <c r="C6837">
        <v>83963</v>
      </c>
      <c r="D6837">
        <v>60</v>
      </c>
    </row>
    <row r="6838" spans="1:4" x14ac:dyDescent="0.25">
      <c r="A6838" t="str">
        <f>T("   440910")</f>
        <v xml:space="preserve">   440910</v>
      </c>
      <c r="B6838" t="s">
        <v>182</v>
      </c>
      <c r="C6838">
        <v>364386</v>
      </c>
      <c r="D6838">
        <v>230</v>
      </c>
    </row>
    <row r="6839" spans="1:4" x14ac:dyDescent="0.25">
      <c r="A6839" t="str">
        <f>T("   441300")</f>
        <v xml:space="preserve">   441300</v>
      </c>
      <c r="B6839" t="str">
        <f>T("   Bois dits 'densifiés', en blocs, planches, lames ou profilés")</f>
        <v xml:space="preserve">   Bois dits 'densifiés', en blocs, planches, lames ou profilés</v>
      </c>
      <c r="C6839">
        <v>111841</v>
      </c>
      <c r="D6839">
        <v>6000</v>
      </c>
    </row>
    <row r="6840" spans="1:4" x14ac:dyDescent="0.25">
      <c r="A6840" t="str">
        <f>T("   441400")</f>
        <v xml:space="preserve">   441400</v>
      </c>
      <c r="B6840" t="str">
        <f>T("   Cadres en bois pour tableaux, photographies, miroirs ou objets simil.")</f>
        <v xml:space="preserve">   Cadres en bois pour tableaux, photographies, miroirs ou objets simil.</v>
      </c>
      <c r="C6840">
        <v>3731048</v>
      </c>
      <c r="D6840">
        <v>1360</v>
      </c>
    </row>
    <row r="6841" spans="1:4" x14ac:dyDescent="0.25">
      <c r="A6841" t="str">
        <f>T("   441700")</f>
        <v xml:space="preserve">   441700</v>
      </c>
      <c r="B6841" t="s">
        <v>199</v>
      </c>
      <c r="C6841">
        <v>1723207</v>
      </c>
      <c r="D6841">
        <v>3642</v>
      </c>
    </row>
    <row r="6842" spans="1:4" x14ac:dyDescent="0.25">
      <c r="A6842" t="str">
        <f>T("   480257")</f>
        <v xml:space="preserve">   480257</v>
      </c>
      <c r="B6842" t="s">
        <v>208</v>
      </c>
      <c r="C6842">
        <v>4714384</v>
      </c>
      <c r="D6842">
        <v>8058</v>
      </c>
    </row>
    <row r="6843" spans="1:4" x14ac:dyDescent="0.25">
      <c r="A6843" t="str">
        <f>T("   480258")</f>
        <v xml:space="preserve">   480258</v>
      </c>
      <c r="B6843" t="s">
        <v>209</v>
      </c>
      <c r="C6843">
        <v>7445146</v>
      </c>
      <c r="D6843">
        <v>15601</v>
      </c>
    </row>
    <row r="6844" spans="1:4" x14ac:dyDescent="0.25">
      <c r="A6844" t="str">
        <f>T("   480300")</f>
        <v xml:space="preserve">   480300</v>
      </c>
      <c r="B6844" t="s">
        <v>211</v>
      </c>
      <c r="C6844">
        <v>20664206</v>
      </c>
      <c r="D6844">
        <v>10975</v>
      </c>
    </row>
    <row r="6845" spans="1:4" x14ac:dyDescent="0.25">
      <c r="A6845" t="str">
        <f>T("   480593")</f>
        <v xml:space="preserve">   480593</v>
      </c>
      <c r="B6845"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6845">
        <v>10952105</v>
      </c>
      <c r="D6845">
        <v>16527</v>
      </c>
    </row>
    <row r="6846" spans="1:4" x14ac:dyDescent="0.25">
      <c r="A6846" t="str">
        <f>T("   480890")</f>
        <v xml:space="preserve">   480890</v>
      </c>
      <c r="B6846" t="s">
        <v>219</v>
      </c>
      <c r="C6846">
        <v>164810</v>
      </c>
      <c r="D6846">
        <v>305</v>
      </c>
    </row>
    <row r="6847" spans="1:4" x14ac:dyDescent="0.25">
      <c r="A6847" t="str">
        <f>T("   481099")</f>
        <v xml:space="preserve">   481099</v>
      </c>
      <c r="B6847" t="s">
        <v>225</v>
      </c>
      <c r="C6847">
        <v>2335217</v>
      </c>
      <c r="D6847">
        <v>1410</v>
      </c>
    </row>
    <row r="6848" spans="1:4" x14ac:dyDescent="0.25">
      <c r="A6848" t="str">
        <f>T("   481710")</f>
        <v xml:space="preserve">   481710</v>
      </c>
      <c r="B6848" t="str">
        <f>T("   Enveloppes, en papier ou en carton")</f>
        <v xml:space="preserve">   Enveloppes, en papier ou en carton</v>
      </c>
      <c r="C6848">
        <v>709818</v>
      </c>
      <c r="D6848">
        <v>805</v>
      </c>
    </row>
    <row r="6849" spans="1:4" x14ac:dyDescent="0.25">
      <c r="A6849" t="str">
        <f>T("   481810")</f>
        <v xml:space="preserve">   481810</v>
      </c>
      <c r="B6849" t="str">
        <f>T("   Papier hygiénique, en rouleaux d'une largeur &lt;= 36 cm")</f>
        <v xml:space="preserve">   Papier hygiénique, en rouleaux d'une largeur &lt;= 36 cm</v>
      </c>
      <c r="C6849">
        <v>91759613</v>
      </c>
      <c r="D6849">
        <v>143212</v>
      </c>
    </row>
    <row r="6850" spans="1:4" x14ac:dyDescent="0.25">
      <c r="A6850" t="str">
        <f>T("   481820")</f>
        <v xml:space="preserve">   481820</v>
      </c>
      <c r="B6850"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850">
        <v>14637933</v>
      </c>
      <c r="D6850">
        <v>21020</v>
      </c>
    </row>
    <row r="6851" spans="1:4" x14ac:dyDescent="0.25">
      <c r="A6851" t="str">
        <f>T("   481840")</f>
        <v xml:space="preserve">   481840</v>
      </c>
      <c r="B6851"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851">
        <v>10000</v>
      </c>
      <c r="D6851">
        <v>5</v>
      </c>
    </row>
    <row r="6852" spans="1:4" x14ac:dyDescent="0.25">
      <c r="A6852" t="str">
        <f>T("   481910")</f>
        <v xml:space="preserve">   481910</v>
      </c>
      <c r="B6852" t="str">
        <f>T("   Boîtes et caisses en papier ou en carton ondulé")</f>
        <v xml:space="preserve">   Boîtes et caisses en papier ou en carton ondulé</v>
      </c>
      <c r="C6852">
        <v>15014925</v>
      </c>
      <c r="D6852">
        <v>21819</v>
      </c>
    </row>
    <row r="6853" spans="1:4" x14ac:dyDescent="0.25">
      <c r="A6853" t="str">
        <f>T("   481920")</f>
        <v xml:space="preserve">   481920</v>
      </c>
      <c r="B6853" t="str">
        <f>T("   Boîtes et cartonnages, pliants, en papier ou en carton non ondulé")</f>
        <v xml:space="preserve">   Boîtes et cartonnages, pliants, en papier ou en carton non ondulé</v>
      </c>
      <c r="C6853">
        <v>1416218</v>
      </c>
      <c r="D6853">
        <v>609</v>
      </c>
    </row>
    <row r="6854" spans="1:4" x14ac:dyDescent="0.25">
      <c r="A6854" t="str">
        <f>T("   481950")</f>
        <v xml:space="preserve">   481950</v>
      </c>
      <c r="B6854" t="s">
        <v>233</v>
      </c>
      <c r="C6854">
        <v>513617</v>
      </c>
      <c r="D6854">
        <v>810</v>
      </c>
    </row>
    <row r="6855" spans="1:4" x14ac:dyDescent="0.25">
      <c r="A6855" t="str">
        <f>T("   482090")</f>
        <v xml:space="preserve">   482090</v>
      </c>
      <c r="B6855" t="s">
        <v>234</v>
      </c>
      <c r="C6855">
        <v>709336</v>
      </c>
      <c r="D6855">
        <v>2217</v>
      </c>
    </row>
    <row r="6856" spans="1:4" x14ac:dyDescent="0.25">
      <c r="A6856" t="str">
        <f>T("   490110")</f>
        <v xml:space="preserve">   490110</v>
      </c>
      <c r="B6856"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6856">
        <v>38702</v>
      </c>
      <c r="D6856">
        <v>28</v>
      </c>
    </row>
    <row r="6857" spans="1:4" x14ac:dyDescent="0.25">
      <c r="A6857" t="str">
        <f>T("   490199")</f>
        <v xml:space="preserve">   490199</v>
      </c>
      <c r="B685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857">
        <v>30288103</v>
      </c>
      <c r="D6857">
        <v>17649</v>
      </c>
    </row>
    <row r="6858" spans="1:4" x14ac:dyDescent="0.25">
      <c r="A6858" t="str">
        <f>T("   490290")</f>
        <v xml:space="preserve">   490290</v>
      </c>
      <c r="B6858"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6858">
        <v>19117803</v>
      </c>
      <c r="D6858">
        <v>14432</v>
      </c>
    </row>
    <row r="6859" spans="1:4" x14ac:dyDescent="0.25">
      <c r="A6859" t="str">
        <f>T("   490510")</f>
        <v xml:space="preserve">   490510</v>
      </c>
      <c r="B6859" t="str">
        <f>T("   Globes, imprimés (à l'excl. des globes en relief)")</f>
        <v xml:space="preserve">   Globes, imprimés (à l'excl. des globes en relief)</v>
      </c>
      <c r="C6859">
        <v>6384249</v>
      </c>
      <c r="D6859">
        <v>1008</v>
      </c>
    </row>
    <row r="6860" spans="1:4" x14ac:dyDescent="0.25">
      <c r="A6860" t="str">
        <f>T("   491110")</f>
        <v xml:space="preserve">   491110</v>
      </c>
      <c r="B6860" t="str">
        <f>T("   Imprimés publicitaires, catalogues commerciaux et simil.")</f>
        <v xml:space="preserve">   Imprimés publicitaires, catalogues commerciaux et simil.</v>
      </c>
      <c r="C6860">
        <v>139506</v>
      </c>
      <c r="D6860">
        <v>19.399999999999999</v>
      </c>
    </row>
    <row r="6861" spans="1:4" x14ac:dyDescent="0.25">
      <c r="A6861" t="str">
        <f>T("   491191")</f>
        <v xml:space="preserve">   491191</v>
      </c>
      <c r="B6861" t="str">
        <f>T("   Images, gravures et photographies, n.d.a.")</f>
        <v xml:space="preserve">   Images, gravures et photographies, n.d.a.</v>
      </c>
      <c r="C6861">
        <v>1070742</v>
      </c>
      <c r="D6861">
        <v>4789</v>
      </c>
    </row>
    <row r="6862" spans="1:4" x14ac:dyDescent="0.25">
      <c r="A6862" t="str">
        <f>T("   560110")</f>
        <v xml:space="preserve">   560110</v>
      </c>
      <c r="B6862" t="str">
        <f>T("   Serviettes et tampons hygiéniques, couches pour bébés et articles hygiéniques simil., en ouates")</f>
        <v xml:space="preserve">   Serviettes et tampons hygiéniques, couches pour bébés et articles hygiéniques simil., en ouates</v>
      </c>
      <c r="C6862">
        <v>628666</v>
      </c>
      <c r="D6862">
        <v>70</v>
      </c>
    </row>
    <row r="6863" spans="1:4" x14ac:dyDescent="0.25">
      <c r="A6863" t="str">
        <f>T("   570490")</f>
        <v xml:space="preserve">   570490</v>
      </c>
      <c r="B6863"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6863">
        <v>359932</v>
      </c>
      <c r="D6863">
        <v>85</v>
      </c>
    </row>
    <row r="6864" spans="1:4" x14ac:dyDescent="0.25">
      <c r="A6864" t="str">
        <f>T("   570500")</f>
        <v xml:space="preserve">   570500</v>
      </c>
      <c r="B686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864">
        <v>3277598</v>
      </c>
      <c r="D6864">
        <v>2100</v>
      </c>
    </row>
    <row r="6865" spans="1:4" x14ac:dyDescent="0.25">
      <c r="A6865" t="str">
        <f>T("   581099")</f>
        <v xml:space="preserve">   581099</v>
      </c>
      <c r="B6865"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6865">
        <v>860950</v>
      </c>
      <c r="D6865">
        <v>300</v>
      </c>
    </row>
    <row r="6866" spans="1:4" x14ac:dyDescent="0.25">
      <c r="A6866" t="str">
        <f>T("   581100")</f>
        <v xml:space="preserve">   581100</v>
      </c>
      <c r="B6866" t="s">
        <v>269</v>
      </c>
      <c r="C6866">
        <v>862000</v>
      </c>
      <c r="D6866">
        <v>5000</v>
      </c>
    </row>
    <row r="6867" spans="1:4" x14ac:dyDescent="0.25">
      <c r="A6867" t="str">
        <f>T("   590390")</f>
        <v xml:space="preserve">   590390</v>
      </c>
      <c r="B6867" t="s">
        <v>270</v>
      </c>
      <c r="C6867">
        <v>500000</v>
      </c>
      <c r="D6867">
        <v>1326</v>
      </c>
    </row>
    <row r="6868" spans="1:4" x14ac:dyDescent="0.25">
      <c r="A6868" t="str">
        <f>T("   590900")</f>
        <v xml:space="preserve">   590900</v>
      </c>
      <c r="B6868"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6868">
        <v>252873</v>
      </c>
      <c r="D6868">
        <v>60</v>
      </c>
    </row>
    <row r="6869" spans="1:4" x14ac:dyDescent="0.25">
      <c r="A6869" t="str">
        <f>T("   610319")</f>
        <v xml:space="preserve">   610319</v>
      </c>
      <c r="B6869"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6869">
        <v>1870000</v>
      </c>
      <c r="D6869">
        <v>3316</v>
      </c>
    </row>
    <row r="6870" spans="1:4" x14ac:dyDescent="0.25">
      <c r="A6870" t="str">
        <f>T("   610510")</f>
        <v xml:space="preserve">   610510</v>
      </c>
      <c r="B6870"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6870">
        <v>80683</v>
      </c>
      <c r="D6870">
        <v>10</v>
      </c>
    </row>
    <row r="6871" spans="1:4" x14ac:dyDescent="0.25">
      <c r="A6871" t="str">
        <f>T("   610590")</f>
        <v xml:space="preserve">   610590</v>
      </c>
      <c r="B6871"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871">
        <v>643092</v>
      </c>
      <c r="D6871">
        <v>810</v>
      </c>
    </row>
    <row r="6872" spans="1:4" x14ac:dyDescent="0.25">
      <c r="A6872" t="str">
        <f>T("   610910")</f>
        <v xml:space="preserve">   610910</v>
      </c>
      <c r="B6872" t="str">
        <f>T("   T-shirts et maillots de corps, en bonneterie, de coton,")</f>
        <v xml:space="preserve">   T-shirts et maillots de corps, en bonneterie, de coton,</v>
      </c>
      <c r="C6872">
        <v>104298</v>
      </c>
      <c r="D6872">
        <v>75</v>
      </c>
    </row>
    <row r="6873" spans="1:4" x14ac:dyDescent="0.25">
      <c r="A6873" t="str">
        <f>T("   610990")</f>
        <v xml:space="preserve">   610990</v>
      </c>
      <c r="B6873" t="str">
        <f>T("   T-shirts et maillots de corps, en bonneterie, de matières textiles (sauf de coton)")</f>
        <v xml:space="preserve">   T-shirts et maillots de corps, en bonneterie, de matières textiles (sauf de coton)</v>
      </c>
      <c r="C6873">
        <v>11151</v>
      </c>
      <c r="D6873">
        <v>17</v>
      </c>
    </row>
    <row r="6874" spans="1:4" x14ac:dyDescent="0.25">
      <c r="A6874" t="str">
        <f>T("   611490")</f>
        <v xml:space="preserve">   611490</v>
      </c>
      <c r="B687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874">
        <v>600000</v>
      </c>
      <c r="D6874">
        <v>1890</v>
      </c>
    </row>
    <row r="6875" spans="1:4" x14ac:dyDescent="0.25">
      <c r="A6875" t="str">
        <f>T("   620319")</f>
        <v xml:space="preserve">   620319</v>
      </c>
      <c r="B6875" t="s">
        <v>288</v>
      </c>
      <c r="C6875">
        <v>977893</v>
      </c>
      <c r="D6875">
        <v>4050</v>
      </c>
    </row>
    <row r="6876" spans="1:4" x14ac:dyDescent="0.25">
      <c r="A6876" t="str">
        <f>T("   620329")</f>
        <v xml:space="preserve">   620329</v>
      </c>
      <c r="B687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6876">
        <v>67564</v>
      </c>
      <c r="D6876">
        <v>350</v>
      </c>
    </row>
    <row r="6877" spans="1:4" x14ac:dyDescent="0.25">
      <c r="A6877" t="str">
        <f>T("   620590")</f>
        <v xml:space="preserve">   620590</v>
      </c>
      <c r="B687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877">
        <v>3475133</v>
      </c>
      <c r="D6877">
        <v>13675</v>
      </c>
    </row>
    <row r="6878" spans="1:4" x14ac:dyDescent="0.25">
      <c r="A6878" t="str">
        <f>T("   621040")</f>
        <v xml:space="preserve">   621040</v>
      </c>
      <c r="B6878" t="s">
        <v>294</v>
      </c>
      <c r="C6878">
        <v>2219544</v>
      </c>
      <c r="D6878">
        <v>7488</v>
      </c>
    </row>
    <row r="6879" spans="1:4" x14ac:dyDescent="0.25">
      <c r="A6879" t="str">
        <f>T("   621050")</f>
        <v xml:space="preserve">   621050</v>
      </c>
      <c r="B6879" t="s">
        <v>295</v>
      </c>
      <c r="C6879">
        <v>100000</v>
      </c>
      <c r="D6879">
        <v>109</v>
      </c>
    </row>
    <row r="6880" spans="1:4" x14ac:dyDescent="0.25">
      <c r="A6880" t="str">
        <f>T("   621220")</f>
        <v xml:space="preserve">   621220</v>
      </c>
      <c r="B6880" t="str">
        <f>T("   Gaines et gaines-culottes en tous types de matières textiles, même élastiques et même en bonneterie (sauf gaines et gaine-culottes entièrement en caoutchouc)")</f>
        <v xml:space="preserve">   Gaines et gaines-culottes en tous types de matières textiles, même élastiques et même en bonneterie (sauf gaines et gaine-culottes entièrement en caoutchouc)</v>
      </c>
      <c r="C6880">
        <v>1017433</v>
      </c>
      <c r="D6880">
        <v>118</v>
      </c>
    </row>
    <row r="6881" spans="1:4" x14ac:dyDescent="0.25">
      <c r="A6881" t="str">
        <f>T("   630319")</f>
        <v xml:space="preserve">   630319</v>
      </c>
      <c r="B6881"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6881">
        <v>885547</v>
      </c>
      <c r="D6881">
        <v>32</v>
      </c>
    </row>
    <row r="6882" spans="1:4" x14ac:dyDescent="0.25">
      <c r="A6882" t="str">
        <f>T("   630399")</f>
        <v xml:space="preserve">   630399</v>
      </c>
      <c r="B688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882">
        <v>6038595</v>
      </c>
      <c r="D6882">
        <v>738</v>
      </c>
    </row>
    <row r="6883" spans="1:4" x14ac:dyDescent="0.25">
      <c r="A6883" t="str">
        <f>T("   630499")</f>
        <v xml:space="preserve">   630499</v>
      </c>
      <c r="B6883" t="s">
        <v>299</v>
      </c>
      <c r="C6883">
        <v>49197</v>
      </c>
      <c r="D6883">
        <v>350</v>
      </c>
    </row>
    <row r="6884" spans="1:4" x14ac:dyDescent="0.25">
      <c r="A6884" t="str">
        <f>T("   630539")</f>
        <v xml:space="preserve">   630539</v>
      </c>
      <c r="B6884"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884">
        <v>5267893</v>
      </c>
      <c r="D6884">
        <v>880</v>
      </c>
    </row>
    <row r="6885" spans="1:4" x14ac:dyDescent="0.25">
      <c r="A6885" t="str">
        <f>T("   630590")</f>
        <v xml:space="preserve">   630590</v>
      </c>
      <c r="B6885"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6885">
        <v>150000</v>
      </c>
      <c r="D6885">
        <v>70</v>
      </c>
    </row>
    <row r="6886" spans="1:4" x14ac:dyDescent="0.25">
      <c r="A6886" t="str">
        <f>T("   630649")</f>
        <v xml:space="preserve">   630649</v>
      </c>
      <c r="B6886" t="str">
        <f>T("   Matelas pneumatiques de matières textiles (autres que de coton)")</f>
        <v xml:space="preserve">   Matelas pneumatiques de matières textiles (autres que de coton)</v>
      </c>
      <c r="C6886">
        <v>338750</v>
      </c>
      <c r="D6886">
        <v>850</v>
      </c>
    </row>
    <row r="6887" spans="1:4" x14ac:dyDescent="0.25">
      <c r="A6887" t="str">
        <f>T("   630699")</f>
        <v xml:space="preserve">   630699</v>
      </c>
      <c r="B6887"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6887">
        <v>212000</v>
      </c>
      <c r="D6887">
        <v>850</v>
      </c>
    </row>
    <row r="6888" spans="1:4" x14ac:dyDescent="0.25">
      <c r="A6888" t="str">
        <f>T("   630710")</f>
        <v xml:space="preserve">   630710</v>
      </c>
      <c r="B6888" t="str">
        <f>T("   Serpillières ou wassingues, lavettes, chamoisettes et articles d'entretien simil. en tous types de matières textiles")</f>
        <v xml:space="preserve">   Serpillières ou wassingues, lavettes, chamoisettes et articles d'entretien simil. en tous types de matières textiles</v>
      </c>
      <c r="C6888">
        <v>621194</v>
      </c>
      <c r="D6888">
        <v>730</v>
      </c>
    </row>
    <row r="6889" spans="1:4" x14ac:dyDescent="0.25">
      <c r="A6889" t="str">
        <f>T("   630790")</f>
        <v xml:space="preserve">   630790</v>
      </c>
      <c r="B6889" t="str">
        <f>T("   Articles de matières textiles, confectionnés, y.c. les patrons de vêtements n.d.a.")</f>
        <v xml:space="preserve">   Articles de matières textiles, confectionnés, y.c. les patrons de vêtements n.d.a.</v>
      </c>
      <c r="C6889">
        <v>444747</v>
      </c>
      <c r="D6889">
        <v>60</v>
      </c>
    </row>
    <row r="6890" spans="1:4" x14ac:dyDescent="0.25">
      <c r="A6890" t="str">
        <f>T("   630900")</f>
        <v xml:space="preserve">   630900</v>
      </c>
      <c r="B6890" t="s">
        <v>300</v>
      </c>
      <c r="C6890">
        <v>47405318</v>
      </c>
      <c r="D6890">
        <v>88076</v>
      </c>
    </row>
    <row r="6891" spans="1:4" x14ac:dyDescent="0.25">
      <c r="A6891" t="str">
        <f>T("   640199")</f>
        <v xml:space="preserve">   640199</v>
      </c>
      <c r="B6891" t="s">
        <v>301</v>
      </c>
      <c r="C6891">
        <v>1114738</v>
      </c>
      <c r="D6891">
        <v>3000</v>
      </c>
    </row>
    <row r="6892" spans="1:4" x14ac:dyDescent="0.25">
      <c r="A6892" t="str">
        <f>T("   640219")</f>
        <v xml:space="preserve">   640219</v>
      </c>
      <c r="B6892" t="s">
        <v>303</v>
      </c>
      <c r="C6892">
        <v>3000000</v>
      </c>
      <c r="D6892">
        <v>20910</v>
      </c>
    </row>
    <row r="6893" spans="1:4" x14ac:dyDescent="0.25">
      <c r="A6893" t="str">
        <f>T("   640299")</f>
        <v xml:space="preserve">   640299</v>
      </c>
      <c r="B6893" t="s">
        <v>305</v>
      </c>
      <c r="C6893">
        <v>346000</v>
      </c>
      <c r="D6893">
        <v>120</v>
      </c>
    </row>
    <row r="6894" spans="1:4" x14ac:dyDescent="0.25">
      <c r="A6894" t="str">
        <f>T("   640359")</f>
        <v xml:space="preserve">   640359</v>
      </c>
      <c r="B6894" t="s">
        <v>307</v>
      </c>
      <c r="C6894">
        <v>1696969</v>
      </c>
      <c r="D6894">
        <v>2173</v>
      </c>
    </row>
    <row r="6895" spans="1:4" x14ac:dyDescent="0.25">
      <c r="A6895" t="str">
        <f>T("   640510")</f>
        <v xml:space="preserve">   640510</v>
      </c>
      <c r="B6895"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6895">
        <v>50000</v>
      </c>
      <c r="D6895">
        <v>100</v>
      </c>
    </row>
    <row r="6896" spans="1:4" x14ac:dyDescent="0.25">
      <c r="A6896" t="str">
        <f>T("   640590")</f>
        <v xml:space="preserve">   640590</v>
      </c>
      <c r="B6896" t="s">
        <v>311</v>
      </c>
      <c r="C6896">
        <v>1248734</v>
      </c>
      <c r="D6896">
        <v>1219.74</v>
      </c>
    </row>
    <row r="6897" spans="1:4" x14ac:dyDescent="0.25">
      <c r="A6897" t="str">
        <f>T("   670210")</f>
        <v xml:space="preserve">   670210</v>
      </c>
      <c r="B6897"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6897">
        <v>131192</v>
      </c>
      <c r="D6897">
        <v>50</v>
      </c>
    </row>
    <row r="6898" spans="1:4" x14ac:dyDescent="0.25">
      <c r="A6898" t="str">
        <f>T("   680100")</f>
        <v xml:space="preserve">   680100</v>
      </c>
      <c r="B6898" t="str">
        <f>T("   Pavés, bordures de trottoirs et dalles de pavage, en pierres naturelles (autres que l'ardoise)")</f>
        <v xml:space="preserve">   Pavés, bordures de trottoirs et dalles de pavage, en pierres naturelles (autres que l'ardoise)</v>
      </c>
      <c r="C6898">
        <v>172426</v>
      </c>
      <c r="D6898">
        <v>4000</v>
      </c>
    </row>
    <row r="6899" spans="1:4" x14ac:dyDescent="0.25">
      <c r="A6899" t="str">
        <f>T("   680210")</f>
        <v xml:space="preserve">   680210</v>
      </c>
      <c r="B6899" t="s">
        <v>314</v>
      </c>
      <c r="C6899">
        <v>1311829</v>
      </c>
      <c r="D6899">
        <v>4175</v>
      </c>
    </row>
    <row r="6900" spans="1:4" x14ac:dyDescent="0.25">
      <c r="A6900" t="str">
        <f>T("   680223")</f>
        <v xml:space="preserve">   680223</v>
      </c>
      <c r="B6900"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6900">
        <v>22028449</v>
      </c>
      <c r="D6900">
        <v>128978</v>
      </c>
    </row>
    <row r="6901" spans="1:4" x14ac:dyDescent="0.25">
      <c r="A6901" t="str">
        <f>T("   680530")</f>
        <v xml:space="preserve">   680530</v>
      </c>
      <c r="B6901" t="str">
        <f>T("   Abrasifs naturels ou artificiels en poudre ou en grains, appliqués sur un autre fond que des matières textiles seulement ou que du papier ou du carton seulement, même découpés, cousus ou autrement assemblés")</f>
        <v xml:space="preserve">   Abrasifs naturels ou artificiels en poudre ou en grains, appliqués sur un autre fond que des matières textiles seulement ou que du papier ou du carton seulement, même découpés, cousus ou autrement assemblés</v>
      </c>
      <c r="C6901">
        <v>4319752</v>
      </c>
      <c r="D6901">
        <v>1010</v>
      </c>
    </row>
    <row r="6902" spans="1:4" x14ac:dyDescent="0.25">
      <c r="A6902" t="str">
        <f>T("   680710")</f>
        <v xml:space="preserve">   680710</v>
      </c>
      <c r="B6902" t="str">
        <f>T("   Ouvrages en asphalte ou en produits simil., p.ex. poix de pétrole, brais, en rouleaux")</f>
        <v xml:space="preserve">   Ouvrages en asphalte ou en produits simil., p.ex. poix de pétrole, brais, en rouleaux</v>
      </c>
      <c r="C6902">
        <v>11987931</v>
      </c>
      <c r="D6902">
        <v>22538</v>
      </c>
    </row>
    <row r="6903" spans="1:4" x14ac:dyDescent="0.25">
      <c r="A6903" t="str">
        <f>T("   680990")</f>
        <v xml:space="preserve">   680990</v>
      </c>
      <c r="B6903" t="s">
        <v>326</v>
      </c>
      <c r="C6903">
        <v>74299933</v>
      </c>
      <c r="D6903">
        <v>90315</v>
      </c>
    </row>
    <row r="6904" spans="1:4" x14ac:dyDescent="0.25">
      <c r="A6904" t="str">
        <f>T("   681019")</f>
        <v xml:space="preserve">   681019</v>
      </c>
      <c r="B6904"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6904">
        <v>22943488</v>
      </c>
      <c r="D6904">
        <v>217700</v>
      </c>
    </row>
    <row r="6905" spans="1:4" x14ac:dyDescent="0.25">
      <c r="A6905" t="str">
        <f>T("   681120")</f>
        <v xml:space="preserve">   681120</v>
      </c>
      <c r="B6905" t="str">
        <f>T("   Plaques, panneaux, carreaux, tuiles et articles simil., en amiante-ciment, cellulose-ciment ou simil. (sauf plaques ondulées)")</f>
        <v xml:space="preserve">   Plaques, panneaux, carreaux, tuiles et articles simil., en amiante-ciment, cellulose-ciment ou simil. (sauf plaques ondulées)</v>
      </c>
      <c r="C6905">
        <v>20537073</v>
      </c>
      <c r="D6905">
        <v>253180</v>
      </c>
    </row>
    <row r="6906" spans="1:4" x14ac:dyDescent="0.25">
      <c r="A6906" t="str">
        <f>T("   681140")</f>
        <v xml:space="preserve">   681140</v>
      </c>
      <c r="B6906" t="str">
        <f>T("   OUVRAGES EN AMIANTE-CIMENT, CELLULOSE-CIMENT OU SIMIL., CONTENANT DE L'AMIANTE")</f>
        <v xml:space="preserve">   OUVRAGES EN AMIANTE-CIMENT, CELLULOSE-CIMENT OU SIMIL., CONTENANT DE L'AMIANTE</v>
      </c>
      <c r="C6906">
        <v>4369349</v>
      </c>
      <c r="D6906">
        <v>54000</v>
      </c>
    </row>
    <row r="6907" spans="1:4" x14ac:dyDescent="0.25">
      <c r="A6907" t="str">
        <f>T("   681182")</f>
        <v xml:space="preserve">   681182</v>
      </c>
      <c r="B6907" t="str">
        <f>T("   PLAQUES, PANNEAUX, CARREAUX, TUILES ET ARTICLES SIMIL., EN CELLULOSE-CIMENT OU SIMIL., NE CONTENANT PAS DE L'AMIANTE (SAUF PLAQUES ONDULÉES)")</f>
        <v xml:space="preserve">   PLAQUES, PANNEAUX, CARREAUX, TUILES ET ARTICLES SIMIL., EN CELLULOSE-CIMENT OU SIMIL., NE CONTENANT PAS DE L'AMIANTE (SAUF PLAQUES ONDULÉES)</v>
      </c>
      <c r="C6907">
        <v>17957562</v>
      </c>
      <c r="D6907">
        <v>209400</v>
      </c>
    </row>
    <row r="6908" spans="1:4" x14ac:dyDescent="0.25">
      <c r="A6908" t="str">
        <f>T("   690510")</f>
        <v xml:space="preserve">   690510</v>
      </c>
      <c r="B6908" t="str">
        <f>T("   Tuiles")</f>
        <v xml:space="preserve">   Tuiles</v>
      </c>
      <c r="C6908">
        <v>200000</v>
      </c>
      <c r="D6908">
        <v>2420</v>
      </c>
    </row>
    <row r="6909" spans="1:4" x14ac:dyDescent="0.25">
      <c r="A6909" t="str">
        <f>T("   690710")</f>
        <v xml:space="preserve">   690710</v>
      </c>
      <c r="B6909"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6909">
        <v>2905903</v>
      </c>
      <c r="D6909">
        <v>26000</v>
      </c>
    </row>
    <row r="6910" spans="1:4" x14ac:dyDescent="0.25">
      <c r="A6910" t="str">
        <f>T("   690790")</f>
        <v xml:space="preserve">   690790</v>
      </c>
      <c r="B6910" t="s">
        <v>335</v>
      </c>
      <c r="C6910">
        <v>37840987</v>
      </c>
      <c r="D6910">
        <v>154190</v>
      </c>
    </row>
    <row r="6911" spans="1:4" x14ac:dyDescent="0.25">
      <c r="A6911" t="str">
        <f>T("   690810")</f>
        <v xml:space="preserve">   690810</v>
      </c>
      <c r="B6911"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6911">
        <v>12162206</v>
      </c>
      <c r="D6911">
        <v>42620</v>
      </c>
    </row>
    <row r="6912" spans="1:4" x14ac:dyDescent="0.25">
      <c r="A6912" t="str">
        <f>T("   690890")</f>
        <v xml:space="preserve">   690890</v>
      </c>
      <c r="B6912" t="s">
        <v>336</v>
      </c>
      <c r="C6912">
        <v>320993759</v>
      </c>
      <c r="D6912">
        <v>1572837</v>
      </c>
    </row>
    <row r="6913" spans="1:4" x14ac:dyDescent="0.25">
      <c r="A6913" t="str">
        <f>T("   690919")</f>
        <v xml:space="preserve">   690919</v>
      </c>
      <c r="B6913" t="s">
        <v>337</v>
      </c>
      <c r="C6913">
        <v>161530</v>
      </c>
      <c r="D6913">
        <v>31</v>
      </c>
    </row>
    <row r="6914" spans="1:4" x14ac:dyDescent="0.25">
      <c r="A6914" t="str">
        <f>T("   691010")</f>
        <v xml:space="preserve">   691010</v>
      </c>
      <c r="B6914" t="s">
        <v>338</v>
      </c>
      <c r="C6914">
        <v>327980</v>
      </c>
      <c r="D6914">
        <v>170</v>
      </c>
    </row>
    <row r="6915" spans="1:4" x14ac:dyDescent="0.25">
      <c r="A6915" t="str">
        <f>T("   691090")</f>
        <v xml:space="preserve">   691090</v>
      </c>
      <c r="B6915" t="s">
        <v>339</v>
      </c>
      <c r="C6915">
        <v>56399132</v>
      </c>
      <c r="D6915">
        <v>8432</v>
      </c>
    </row>
    <row r="6916" spans="1:4" x14ac:dyDescent="0.25">
      <c r="A6916" t="str">
        <f>T("   691200")</f>
        <v xml:space="preserve">   691200</v>
      </c>
      <c r="B6916" t="s">
        <v>342</v>
      </c>
      <c r="C6916">
        <v>16981621</v>
      </c>
      <c r="D6916">
        <v>21268</v>
      </c>
    </row>
    <row r="6917" spans="1:4" x14ac:dyDescent="0.25">
      <c r="A6917" t="str">
        <f>T("   691390")</f>
        <v xml:space="preserve">   691390</v>
      </c>
      <c r="B6917" t="str">
        <f>T("   Statuettes et autres objets d'ornementation en céramique autres que la porcelaine n.d.a.")</f>
        <v xml:space="preserve">   Statuettes et autres objets d'ornementation en céramique autres que la porcelaine n.d.a.</v>
      </c>
      <c r="C6917">
        <v>600203</v>
      </c>
      <c r="D6917">
        <v>501</v>
      </c>
    </row>
    <row r="6918" spans="1:4" x14ac:dyDescent="0.25">
      <c r="A6918" t="str">
        <f>T("   700529")</f>
        <v xml:space="preserve">   700529</v>
      </c>
      <c r="B6918" t="s">
        <v>343</v>
      </c>
      <c r="C6918">
        <v>16420000</v>
      </c>
      <c r="D6918">
        <v>45598</v>
      </c>
    </row>
    <row r="6919" spans="1:4" x14ac:dyDescent="0.25">
      <c r="A6919" t="str">
        <f>T("   700711")</f>
        <v xml:space="preserve">   700711</v>
      </c>
      <c r="B6919"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6919">
        <v>556254</v>
      </c>
      <c r="D6919">
        <v>104</v>
      </c>
    </row>
    <row r="6920" spans="1:4" x14ac:dyDescent="0.25">
      <c r="A6920" t="str">
        <f>T("   700729")</f>
        <v xml:space="preserve">   700729</v>
      </c>
      <c r="B6920" t="s">
        <v>347</v>
      </c>
      <c r="C6920">
        <v>544447</v>
      </c>
      <c r="D6920">
        <v>692</v>
      </c>
    </row>
    <row r="6921" spans="1:4" x14ac:dyDescent="0.25">
      <c r="A6921" t="str">
        <f>T("   700991")</f>
        <v xml:space="preserve">   700991</v>
      </c>
      <c r="B6921"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6921">
        <v>555886</v>
      </c>
      <c r="D6921">
        <v>144</v>
      </c>
    </row>
    <row r="6922" spans="1:4" x14ac:dyDescent="0.25">
      <c r="A6922" t="str">
        <f>T("   700992")</f>
        <v xml:space="preserve">   700992</v>
      </c>
      <c r="B6922" t="str">
        <f>T("   Miroirs, en verre encadrés (sauf miroirs rétroviseurs pour véhicules)")</f>
        <v xml:space="preserve">   Miroirs, en verre encadrés (sauf miroirs rétroviseurs pour véhicules)</v>
      </c>
      <c r="C6922">
        <v>210537</v>
      </c>
      <c r="D6922">
        <v>79</v>
      </c>
    </row>
    <row r="6923" spans="1:4" x14ac:dyDescent="0.25">
      <c r="A6923" t="str">
        <f>T("   701090")</f>
        <v xml:space="preserve">   701090</v>
      </c>
      <c r="B6923" t="s">
        <v>348</v>
      </c>
      <c r="C6923">
        <v>2501175</v>
      </c>
      <c r="D6923">
        <v>13200</v>
      </c>
    </row>
    <row r="6924" spans="1:4" x14ac:dyDescent="0.25">
      <c r="A6924" t="str">
        <f>T("   701720")</f>
        <v xml:space="preserve">   701720</v>
      </c>
      <c r="B6924" t="s">
        <v>358</v>
      </c>
      <c r="C6924">
        <v>411976</v>
      </c>
      <c r="D6924">
        <v>56</v>
      </c>
    </row>
    <row r="6925" spans="1:4" x14ac:dyDescent="0.25">
      <c r="A6925" t="str">
        <f>T("   711719")</f>
        <v xml:space="preserve">   711719</v>
      </c>
      <c r="B6925"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6925">
        <v>1639900</v>
      </c>
      <c r="D6925">
        <v>1617</v>
      </c>
    </row>
    <row r="6926" spans="1:4" x14ac:dyDescent="0.25">
      <c r="A6926" t="str">
        <f>T("   721070")</f>
        <v xml:space="preserve">   721070</v>
      </c>
      <c r="B6926"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6926">
        <v>4166002</v>
      </c>
      <c r="D6926">
        <v>6020</v>
      </c>
    </row>
    <row r="6927" spans="1:4" x14ac:dyDescent="0.25">
      <c r="A6927" t="str">
        <f>T("   721499")</f>
        <v xml:space="preserve">   721499</v>
      </c>
      <c r="B6927" t="s">
        <v>367</v>
      </c>
      <c r="C6927">
        <v>5815741</v>
      </c>
      <c r="D6927">
        <v>12500</v>
      </c>
    </row>
    <row r="6928" spans="1:4" x14ac:dyDescent="0.25">
      <c r="A6928" t="str">
        <f>T("   721790")</f>
        <v xml:space="preserve">   721790</v>
      </c>
      <c r="B692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6928">
        <v>1278466</v>
      </c>
      <c r="D6928">
        <v>694</v>
      </c>
    </row>
    <row r="6929" spans="1:4" x14ac:dyDescent="0.25">
      <c r="A6929" t="str">
        <f>T("   722880")</f>
        <v xml:space="preserve">   722880</v>
      </c>
      <c r="B6929" t="str">
        <f>T("   Barres creuses pour le forage, en aciers alliés ou non alliés")</f>
        <v xml:space="preserve">   Barres creuses pour le forage, en aciers alliés ou non alliés</v>
      </c>
      <c r="C6929">
        <v>7268693</v>
      </c>
      <c r="D6929">
        <v>2706</v>
      </c>
    </row>
    <row r="6930" spans="1:4" x14ac:dyDescent="0.25">
      <c r="A6930" t="str">
        <f>T("   730429")</f>
        <v xml:space="preserve">   730429</v>
      </c>
      <c r="B6930"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6930">
        <v>1713144094</v>
      </c>
      <c r="D6930">
        <v>171838</v>
      </c>
    </row>
    <row r="6931" spans="1:4" x14ac:dyDescent="0.25">
      <c r="A6931" t="str">
        <f>T("   730830")</f>
        <v xml:space="preserve">   730830</v>
      </c>
      <c r="B6931" t="str">
        <f>T("   Portes, fenêtres et leurs cadres et chambranles ainsi que leurs seuils, en fer ou en acier")</f>
        <v xml:space="preserve">   Portes, fenêtres et leurs cadres et chambranles ainsi que leurs seuils, en fer ou en acier</v>
      </c>
      <c r="C6931">
        <v>15872470</v>
      </c>
      <c r="D6931">
        <v>14092</v>
      </c>
    </row>
    <row r="6932" spans="1:4" x14ac:dyDescent="0.25">
      <c r="A6932" t="str">
        <f>T("   730840")</f>
        <v xml:space="preserve">   730840</v>
      </c>
      <c r="B6932"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6932">
        <v>13099521</v>
      </c>
      <c r="D6932">
        <v>19235</v>
      </c>
    </row>
    <row r="6933" spans="1:4" x14ac:dyDescent="0.25">
      <c r="A6933" t="str">
        <f>T("   730900")</f>
        <v xml:space="preserve">   730900</v>
      </c>
      <c r="B6933" t="s">
        <v>377</v>
      </c>
      <c r="C6933">
        <v>568542264</v>
      </c>
      <c r="D6933">
        <v>377563</v>
      </c>
    </row>
    <row r="6934" spans="1:4" x14ac:dyDescent="0.25">
      <c r="A6934" t="str">
        <f>T("   731021")</f>
        <v xml:space="preserve">   731021</v>
      </c>
      <c r="B6934"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6934">
        <v>435558</v>
      </c>
      <c r="D6934">
        <v>340</v>
      </c>
    </row>
    <row r="6935" spans="1:4" x14ac:dyDescent="0.25">
      <c r="A6935" t="str">
        <f>T("   731029")</f>
        <v xml:space="preserve">   731029</v>
      </c>
      <c r="B6935"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6935">
        <v>131578521</v>
      </c>
      <c r="D6935">
        <v>58086</v>
      </c>
    </row>
    <row r="6936" spans="1:4" x14ac:dyDescent="0.25">
      <c r="A6936" t="str">
        <f>T("   731814")</f>
        <v xml:space="preserve">   731814</v>
      </c>
      <c r="B6936" t="str">
        <f>T("   Vis autotaraudeuses en fonte, fer ou acier (autres que vis à bois)")</f>
        <v xml:space="preserve">   Vis autotaraudeuses en fonte, fer ou acier (autres que vis à bois)</v>
      </c>
      <c r="C6936">
        <v>330604</v>
      </c>
      <c r="D6936">
        <v>480</v>
      </c>
    </row>
    <row r="6937" spans="1:4" x14ac:dyDescent="0.25">
      <c r="A6937" t="str">
        <f>T("   731815")</f>
        <v xml:space="preserve">   731815</v>
      </c>
      <c r="B6937" t="s">
        <v>380</v>
      </c>
      <c r="C6937">
        <v>20068462</v>
      </c>
      <c r="D6937">
        <v>4875</v>
      </c>
    </row>
    <row r="6938" spans="1:4" x14ac:dyDescent="0.25">
      <c r="A6938" t="str">
        <f>T("   732111")</f>
        <v xml:space="preserve">   732111</v>
      </c>
      <c r="B6938" t="s">
        <v>382</v>
      </c>
      <c r="C6938">
        <v>43637151</v>
      </c>
      <c r="D6938">
        <v>9216</v>
      </c>
    </row>
    <row r="6939" spans="1:4" x14ac:dyDescent="0.25">
      <c r="A6939" t="str">
        <f>T("   732190")</f>
        <v xml:space="preserve">   732190</v>
      </c>
      <c r="B6939" t="str">
        <f>T("   Parties des appareils ménagers chauffants non-électriques du n° 7321, n.d.a.")</f>
        <v xml:space="preserve">   Parties des appareils ménagers chauffants non-électriques du n° 7321, n.d.a.</v>
      </c>
      <c r="C6939">
        <v>169599</v>
      </c>
      <c r="D6939">
        <v>1</v>
      </c>
    </row>
    <row r="6940" spans="1:4" x14ac:dyDescent="0.25">
      <c r="A6940" t="str">
        <f>T("   732393")</f>
        <v xml:space="preserve">   732393</v>
      </c>
      <c r="B6940" t="s">
        <v>388</v>
      </c>
      <c r="C6940">
        <v>963593</v>
      </c>
      <c r="D6940">
        <v>2627</v>
      </c>
    </row>
    <row r="6941" spans="1:4" x14ac:dyDescent="0.25">
      <c r="A6941" t="str">
        <f>T("   732394")</f>
        <v xml:space="preserve">   732394</v>
      </c>
      <c r="B6941" t="s">
        <v>389</v>
      </c>
      <c r="C6941">
        <v>499349</v>
      </c>
      <c r="D6941">
        <v>1777</v>
      </c>
    </row>
    <row r="6942" spans="1:4" x14ac:dyDescent="0.25">
      <c r="A6942" t="str">
        <f>T("   732399")</f>
        <v xml:space="preserve">   732399</v>
      </c>
      <c r="B6942" t="s">
        <v>390</v>
      </c>
      <c r="C6942">
        <v>12924543</v>
      </c>
      <c r="D6942">
        <v>37340</v>
      </c>
    </row>
    <row r="6943" spans="1:4" x14ac:dyDescent="0.25">
      <c r="A6943" t="str">
        <f>T("   732410")</f>
        <v xml:space="preserve">   732410</v>
      </c>
      <c r="B6943" t="str">
        <f>T("   ÉVIERS ET LAVABOS EN ACIER INOXYDABLE")</f>
        <v xml:space="preserve">   ÉVIERS ET LAVABOS EN ACIER INOXYDABLE</v>
      </c>
      <c r="C6943">
        <v>20335</v>
      </c>
      <c r="D6943">
        <v>55</v>
      </c>
    </row>
    <row r="6944" spans="1:4" x14ac:dyDescent="0.25">
      <c r="A6944" t="str">
        <f>T("   732490")</f>
        <v xml:space="preserve">   732490</v>
      </c>
      <c r="B6944" t="s">
        <v>391</v>
      </c>
      <c r="C6944">
        <v>64940</v>
      </c>
      <c r="D6944">
        <v>67</v>
      </c>
    </row>
    <row r="6945" spans="1:4" x14ac:dyDescent="0.25">
      <c r="A6945" t="str">
        <f>T("   732690")</f>
        <v xml:space="preserve">   732690</v>
      </c>
      <c r="B694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945">
        <v>900000</v>
      </c>
      <c r="D6945">
        <v>500</v>
      </c>
    </row>
    <row r="6946" spans="1:4" x14ac:dyDescent="0.25">
      <c r="A6946" t="str">
        <f>T("   741220")</f>
        <v xml:space="preserve">   741220</v>
      </c>
      <c r="B6946" t="str">
        <f>T("   Accessoires de tuyauterie -raccords, coudes, manchons, par exemple-, en alliages de cuivre")</f>
        <v xml:space="preserve">   Accessoires de tuyauterie -raccords, coudes, manchons, par exemple-, en alliages de cuivre</v>
      </c>
      <c r="C6946">
        <v>228274</v>
      </c>
      <c r="D6946">
        <v>9</v>
      </c>
    </row>
    <row r="6947" spans="1:4" x14ac:dyDescent="0.25">
      <c r="A6947" t="str">
        <f>T("   760429")</f>
        <v xml:space="preserve">   760429</v>
      </c>
      <c r="B6947" t="str">
        <f>T("   Barres et profilés pleins en alliages d'aluminium, n.d.a.")</f>
        <v xml:space="preserve">   Barres et profilés pleins en alliages d'aluminium, n.d.a.</v>
      </c>
      <c r="C6947">
        <v>733744</v>
      </c>
      <c r="D6947">
        <v>693</v>
      </c>
    </row>
    <row r="6948" spans="1:4" x14ac:dyDescent="0.25">
      <c r="A6948" t="str">
        <f>T("   760612")</f>
        <v xml:space="preserve">   760612</v>
      </c>
      <c r="B6948"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6948">
        <v>1500000</v>
      </c>
      <c r="D6948">
        <v>1000</v>
      </c>
    </row>
    <row r="6949" spans="1:4" x14ac:dyDescent="0.25">
      <c r="A6949" t="str">
        <f>T("   760810")</f>
        <v xml:space="preserve">   760810</v>
      </c>
      <c r="B6949" t="str">
        <f>T("   Tubes et tuyaux en aluminium non allié (sauf profilés creux)")</f>
        <v xml:space="preserve">   Tubes et tuyaux en aluminium non allié (sauf profilés creux)</v>
      </c>
      <c r="C6949">
        <v>265625</v>
      </c>
      <c r="D6949">
        <v>630</v>
      </c>
    </row>
    <row r="6950" spans="1:4" x14ac:dyDescent="0.25">
      <c r="A6950" t="str">
        <f>T("   761010")</f>
        <v xml:space="preserve">   761010</v>
      </c>
      <c r="B6950" t="str">
        <f>T("   Portes, fenêtres et leurs cadres, chambranles et seuils, en aluminium (sauf pièces de garnissage)")</f>
        <v xml:space="preserve">   Portes, fenêtres et leurs cadres, chambranles et seuils, en aluminium (sauf pièces de garnissage)</v>
      </c>
      <c r="C6950">
        <v>4859708</v>
      </c>
      <c r="D6950">
        <v>15810</v>
      </c>
    </row>
    <row r="6951" spans="1:4" x14ac:dyDescent="0.25">
      <c r="A6951" t="str">
        <f>T("   761090")</f>
        <v xml:space="preserve">   761090</v>
      </c>
      <c r="B6951"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6951">
        <v>6082002</v>
      </c>
      <c r="D6951">
        <v>7345</v>
      </c>
    </row>
    <row r="6952" spans="1:4" x14ac:dyDescent="0.25">
      <c r="A6952" t="str">
        <f>T("   761519")</f>
        <v xml:space="preserve">   761519</v>
      </c>
      <c r="B6952" t="s">
        <v>397</v>
      </c>
      <c r="C6952">
        <v>2670944</v>
      </c>
      <c r="D6952">
        <v>420</v>
      </c>
    </row>
    <row r="6953" spans="1:4" x14ac:dyDescent="0.25">
      <c r="A6953" t="str">
        <f>T("   761699")</f>
        <v xml:space="preserve">   761699</v>
      </c>
      <c r="B6953" t="str">
        <f>T("   Ouvrages en aluminium, n.d.a.")</f>
        <v xml:space="preserve">   Ouvrages en aluminium, n.d.a.</v>
      </c>
      <c r="C6953">
        <v>75184823</v>
      </c>
      <c r="D6953">
        <v>32076</v>
      </c>
    </row>
    <row r="6954" spans="1:4" x14ac:dyDescent="0.25">
      <c r="A6954" t="str">
        <f>T("   790700")</f>
        <v xml:space="preserve">   790700</v>
      </c>
      <c r="B6954" t="str">
        <f>T("   Ouvrages en zinc, n.d.a.")</f>
        <v xml:space="preserve">   Ouvrages en zinc, n.d.a.</v>
      </c>
      <c r="C6954">
        <v>154806</v>
      </c>
      <c r="D6954">
        <v>100</v>
      </c>
    </row>
    <row r="6955" spans="1:4" x14ac:dyDescent="0.25">
      <c r="A6955" t="str">
        <f>T("   820299")</f>
        <v xml:space="preserve">   820299</v>
      </c>
      <c r="B6955" t="s">
        <v>400</v>
      </c>
      <c r="C6955">
        <v>2249746</v>
      </c>
      <c r="D6955">
        <v>73</v>
      </c>
    </row>
    <row r="6956" spans="1:4" x14ac:dyDescent="0.25">
      <c r="A6956" t="str">
        <f>T("   820559")</f>
        <v xml:space="preserve">   820559</v>
      </c>
      <c r="B6956" t="str">
        <f>T("   Outils à main, y.c. -les diamants de vitrier-, en métaux communs, n.d.a.")</f>
        <v xml:space="preserve">   Outils à main, y.c. -les diamants de vitrier-, en métaux communs, n.d.a.</v>
      </c>
      <c r="C6956">
        <v>1187617</v>
      </c>
      <c r="D6956">
        <v>370</v>
      </c>
    </row>
    <row r="6957" spans="1:4" x14ac:dyDescent="0.25">
      <c r="A6957" t="str">
        <f>T("   820719")</f>
        <v xml:space="preserve">   820719</v>
      </c>
      <c r="B6957"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6957">
        <v>14247168</v>
      </c>
      <c r="D6957">
        <v>242.5</v>
      </c>
    </row>
    <row r="6958" spans="1:4" x14ac:dyDescent="0.25">
      <c r="A6958" t="str">
        <f>T("   820720")</f>
        <v xml:space="preserve">   820720</v>
      </c>
      <c r="B6958" t="str">
        <f>T("   Filières interchangeables pour l'étirage ou le filage -extrusion- des métaux")</f>
        <v xml:space="preserve">   Filières interchangeables pour l'étirage ou le filage -extrusion- des métaux</v>
      </c>
      <c r="C6958">
        <v>12418307</v>
      </c>
      <c r="D6958">
        <v>100.2</v>
      </c>
    </row>
    <row r="6959" spans="1:4" x14ac:dyDescent="0.25">
      <c r="A6959" t="str">
        <f>T("   820790")</f>
        <v xml:space="preserve">   820790</v>
      </c>
      <c r="B6959" t="str">
        <f>T("   Outils interchangeables pour outillage à main, mécanique ou non, ou pour machines-outils, n.d.a.")</f>
        <v xml:space="preserve">   Outils interchangeables pour outillage à main, mécanique ou non, ou pour machines-outils, n.d.a.</v>
      </c>
      <c r="C6959">
        <v>3204823</v>
      </c>
      <c r="D6959">
        <v>15715.8</v>
      </c>
    </row>
    <row r="6960" spans="1:4" x14ac:dyDescent="0.25">
      <c r="A6960" t="str">
        <f>T("   820890")</f>
        <v xml:space="preserve">   820890</v>
      </c>
      <c r="B6960" t="s">
        <v>401</v>
      </c>
      <c r="C6960">
        <v>19679</v>
      </c>
      <c r="D6960">
        <v>30</v>
      </c>
    </row>
    <row r="6961" spans="1:4" x14ac:dyDescent="0.25">
      <c r="A6961" t="str">
        <f>T("   830140")</f>
        <v xml:space="preserve">   830140</v>
      </c>
      <c r="B696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6961">
        <v>88555</v>
      </c>
      <c r="D6961">
        <v>100</v>
      </c>
    </row>
    <row r="6962" spans="1:4" x14ac:dyDescent="0.25">
      <c r="A6962" t="str">
        <f>T("   830241")</f>
        <v xml:space="preserve">   830241</v>
      </c>
      <c r="B6962"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6962">
        <v>531852</v>
      </c>
      <c r="D6962">
        <v>39</v>
      </c>
    </row>
    <row r="6963" spans="1:4" x14ac:dyDescent="0.25">
      <c r="A6963" t="str">
        <f>T("   830249")</f>
        <v xml:space="preserve">   830249</v>
      </c>
      <c r="B6963" t="s">
        <v>405</v>
      </c>
      <c r="C6963">
        <v>24926</v>
      </c>
      <c r="D6963">
        <v>18</v>
      </c>
    </row>
    <row r="6964" spans="1:4" x14ac:dyDescent="0.25">
      <c r="A6964" t="str">
        <f>T("   830260")</f>
        <v xml:space="preserve">   830260</v>
      </c>
      <c r="B6964" t="str">
        <f>T("   Ferme-portes automatiques en métaux communs")</f>
        <v xml:space="preserve">   Ferme-portes automatiques en métaux communs</v>
      </c>
      <c r="C6964">
        <v>8367039</v>
      </c>
      <c r="D6964">
        <v>549</v>
      </c>
    </row>
    <row r="6965" spans="1:4" x14ac:dyDescent="0.25">
      <c r="A6965" t="str">
        <f>T("   830710")</f>
        <v xml:space="preserve">   830710</v>
      </c>
      <c r="B6965" t="str">
        <f>T("   Tuyaux flexibles en fer ou en acier, même avec accessoires")</f>
        <v xml:space="preserve">   Tuyaux flexibles en fer ou en acier, même avec accessoires</v>
      </c>
      <c r="C6965">
        <v>71513</v>
      </c>
      <c r="D6965">
        <v>2</v>
      </c>
    </row>
    <row r="6966" spans="1:4" x14ac:dyDescent="0.25">
      <c r="A6966" t="str">
        <f>T("   830910")</f>
        <v xml:space="preserve">   830910</v>
      </c>
      <c r="B6966" t="str">
        <f>T("   Bouchons-couronnes en métaux communs")</f>
        <v xml:space="preserve">   Bouchons-couronnes en métaux communs</v>
      </c>
      <c r="C6966">
        <v>6061070</v>
      </c>
      <c r="D6966">
        <v>10133</v>
      </c>
    </row>
    <row r="6967" spans="1:4" x14ac:dyDescent="0.25">
      <c r="A6967" t="str">
        <f>T("   830990")</f>
        <v xml:space="preserve">   830990</v>
      </c>
      <c r="B6967"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967">
        <v>3880659</v>
      </c>
      <c r="D6967">
        <v>1792</v>
      </c>
    </row>
    <row r="6968" spans="1:4" x14ac:dyDescent="0.25">
      <c r="A6968" t="str">
        <f>T("   840510")</f>
        <v xml:space="preserve">   840510</v>
      </c>
      <c r="B6968" t="s">
        <v>411</v>
      </c>
      <c r="C6968">
        <v>6887580</v>
      </c>
      <c r="D6968">
        <v>2600</v>
      </c>
    </row>
    <row r="6969" spans="1:4" x14ac:dyDescent="0.25">
      <c r="A6969" t="str">
        <f>T("   840790")</f>
        <v xml:space="preserve">   840790</v>
      </c>
      <c r="B6969" t="s">
        <v>414</v>
      </c>
      <c r="C6969">
        <v>531984</v>
      </c>
      <c r="D6969">
        <v>850</v>
      </c>
    </row>
    <row r="6970" spans="1:4" x14ac:dyDescent="0.25">
      <c r="A6970" t="str">
        <f>T("   840820")</f>
        <v xml:space="preserve">   840820</v>
      </c>
      <c r="B6970" t="s">
        <v>415</v>
      </c>
      <c r="C6970">
        <v>200068</v>
      </c>
      <c r="D6970">
        <v>2000</v>
      </c>
    </row>
    <row r="6971" spans="1:4" x14ac:dyDescent="0.25">
      <c r="A6971" t="str">
        <f>T("   840999")</f>
        <v xml:space="preserve">   840999</v>
      </c>
      <c r="B697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971">
        <v>1046486</v>
      </c>
      <c r="D6971">
        <v>16</v>
      </c>
    </row>
    <row r="6972" spans="1:4" x14ac:dyDescent="0.25">
      <c r="A6972" t="str">
        <f>T("   841311")</f>
        <v xml:space="preserve">   841311</v>
      </c>
      <c r="B6972"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6972">
        <v>2727272</v>
      </c>
      <c r="D6972">
        <v>335</v>
      </c>
    </row>
    <row r="6973" spans="1:4" x14ac:dyDescent="0.25">
      <c r="A6973" t="str">
        <f>T("   841340")</f>
        <v xml:space="preserve">   841340</v>
      </c>
      <c r="B6973" t="str">
        <f>T("   Pompes à béton")</f>
        <v xml:space="preserve">   Pompes à béton</v>
      </c>
      <c r="C6973">
        <v>3954067</v>
      </c>
      <c r="D6973">
        <v>690</v>
      </c>
    </row>
    <row r="6974" spans="1:4" x14ac:dyDescent="0.25">
      <c r="A6974" t="str">
        <f>T("   841370")</f>
        <v xml:space="preserve">   841370</v>
      </c>
      <c r="B6974" t="s">
        <v>419</v>
      </c>
      <c r="C6974">
        <v>13981492</v>
      </c>
      <c r="D6974">
        <v>3170</v>
      </c>
    </row>
    <row r="6975" spans="1:4" x14ac:dyDescent="0.25">
      <c r="A6975" t="str">
        <f>T("   841381")</f>
        <v xml:space="preserve">   841381</v>
      </c>
      <c r="B6975" t="s">
        <v>420</v>
      </c>
      <c r="C6975">
        <v>12274888</v>
      </c>
      <c r="D6975">
        <v>2372</v>
      </c>
    </row>
    <row r="6976" spans="1:4" x14ac:dyDescent="0.25">
      <c r="A6976" t="str">
        <f>T("   841382")</f>
        <v xml:space="preserve">   841382</v>
      </c>
      <c r="B6976" t="str">
        <f>T("   Elévateurs à liquides (à l'excl. des pompes)")</f>
        <v xml:space="preserve">   Elévateurs à liquides (à l'excl. des pompes)</v>
      </c>
      <c r="C6976">
        <v>9810131</v>
      </c>
      <c r="D6976">
        <v>1323</v>
      </c>
    </row>
    <row r="6977" spans="1:4" x14ac:dyDescent="0.25">
      <c r="A6977" t="str">
        <f>T("   841430")</f>
        <v xml:space="preserve">   841430</v>
      </c>
      <c r="B6977" t="str">
        <f>T("   Compresseurs des types utilisés pour équipements frigorifiques")</f>
        <v xml:space="preserve">   Compresseurs des types utilisés pour équipements frigorifiques</v>
      </c>
      <c r="C6977">
        <v>1611937</v>
      </c>
      <c r="D6977">
        <v>510</v>
      </c>
    </row>
    <row r="6978" spans="1:4" x14ac:dyDescent="0.25">
      <c r="A6978" t="str">
        <f>T("   841440")</f>
        <v xml:space="preserve">   841440</v>
      </c>
      <c r="B6978" t="str">
        <f>T("   Compresseurs d'air montés sur châssis à roues et remorquables")</f>
        <v xml:space="preserve">   Compresseurs d'air montés sur châssis à roues et remorquables</v>
      </c>
      <c r="C6978">
        <v>4516119</v>
      </c>
      <c r="D6978">
        <v>4931</v>
      </c>
    </row>
    <row r="6979" spans="1:4" x14ac:dyDescent="0.25">
      <c r="A6979" t="str">
        <f>T("   841451")</f>
        <v xml:space="preserve">   841451</v>
      </c>
      <c r="B6979"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979">
        <v>22302</v>
      </c>
      <c r="D6979">
        <v>40</v>
      </c>
    </row>
    <row r="6980" spans="1:4" x14ac:dyDescent="0.25">
      <c r="A6980" t="str">
        <f>T("   841459")</f>
        <v xml:space="preserve">   841459</v>
      </c>
      <c r="B698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6980">
        <v>10160820</v>
      </c>
      <c r="D6980">
        <v>500</v>
      </c>
    </row>
    <row r="6981" spans="1:4" x14ac:dyDescent="0.25">
      <c r="A6981" t="str">
        <f>T("   841490")</f>
        <v xml:space="preserve">   841490</v>
      </c>
      <c r="B698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6981">
        <v>1263379</v>
      </c>
      <c r="D6981">
        <v>62</v>
      </c>
    </row>
    <row r="6982" spans="1:4" x14ac:dyDescent="0.25">
      <c r="A6982" t="str">
        <f>T("   841581")</f>
        <v xml:space="preserve">   841581</v>
      </c>
      <c r="B6982" t="s">
        <v>423</v>
      </c>
      <c r="C6982">
        <v>10239329</v>
      </c>
      <c r="D6982">
        <v>1050</v>
      </c>
    </row>
    <row r="6983" spans="1:4" x14ac:dyDescent="0.25">
      <c r="A6983" t="str">
        <f>T("   841590")</f>
        <v xml:space="preserve">   841590</v>
      </c>
      <c r="B6983"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6983">
        <v>127360690</v>
      </c>
      <c r="D6983">
        <v>49805.7</v>
      </c>
    </row>
    <row r="6984" spans="1:4" x14ac:dyDescent="0.25">
      <c r="A6984" t="str">
        <f>T("   841630")</f>
        <v xml:space="preserve">   841630</v>
      </c>
      <c r="B6984" t="str">
        <f>T("   FOYERS AUTOMATIQUES, Y.C. LEURS AVANT-FOYERS, GRILLES MÉCANIQUES, DISPOSITIFS MÉCANIQUES POUR L'ÉVACUATION DES CENDRES ET DISPOSITIFS SIMIL. (SAUF BR¹LEURS)")</f>
        <v xml:space="preserve">   FOYERS AUTOMATIQUES, Y.C. LEURS AVANT-FOYERS, GRILLES MÉCANIQUES, DISPOSITIFS MÉCANIQUES POUR L'ÉVACUATION DES CENDRES ET DISPOSITIFS SIMIL. (SAUF BR¹LEURS)</v>
      </c>
      <c r="C6984">
        <v>573431704</v>
      </c>
      <c r="D6984">
        <v>10210</v>
      </c>
    </row>
    <row r="6985" spans="1:4" x14ac:dyDescent="0.25">
      <c r="A6985" t="str">
        <f>T("   841720")</f>
        <v xml:space="preserve">   841720</v>
      </c>
      <c r="B6985" t="str">
        <f>T("   Fours non-électriques, de boulangerie, de pâtisserie ou de biscuiterie")</f>
        <v xml:space="preserve">   Fours non-électriques, de boulangerie, de pâtisserie ou de biscuiterie</v>
      </c>
      <c r="C6985">
        <v>7606362</v>
      </c>
      <c r="D6985">
        <v>2460</v>
      </c>
    </row>
    <row r="6986" spans="1:4" x14ac:dyDescent="0.25">
      <c r="A6986" t="str">
        <f>T("   841780")</f>
        <v xml:space="preserve">   841780</v>
      </c>
      <c r="B6986" t="s">
        <v>426</v>
      </c>
      <c r="C6986">
        <v>1530327</v>
      </c>
      <c r="D6986">
        <v>1578</v>
      </c>
    </row>
    <row r="6987" spans="1:4" x14ac:dyDescent="0.25">
      <c r="A6987" t="str">
        <f>T("   841810")</f>
        <v xml:space="preserve">   841810</v>
      </c>
      <c r="B6987" t="str">
        <f>T("   Réfrigérateurs et congélateurs-conservateurs combinés, avec portes extérieures séparées")</f>
        <v xml:space="preserve">   Réfrigérateurs et congélateurs-conservateurs combinés, avec portes extérieures séparées</v>
      </c>
      <c r="C6987">
        <v>13444611</v>
      </c>
      <c r="D6987">
        <v>36470</v>
      </c>
    </row>
    <row r="6988" spans="1:4" x14ac:dyDescent="0.25">
      <c r="A6988" t="str">
        <f>T("   841829")</f>
        <v xml:space="preserve">   841829</v>
      </c>
      <c r="B6988" t="str">
        <f>T("   Réfrigérateurs ménagers à absorption, non-électriques")</f>
        <v xml:space="preserve">   Réfrigérateurs ménagers à absorption, non-électriques</v>
      </c>
      <c r="C6988">
        <v>31126162</v>
      </c>
      <c r="D6988">
        <v>50286</v>
      </c>
    </row>
    <row r="6989" spans="1:4" x14ac:dyDescent="0.25">
      <c r="A6989" t="str">
        <f>T("   841830")</f>
        <v xml:space="preserve">   841830</v>
      </c>
      <c r="B6989" t="str">
        <f>T("   Meubles congélateurs-conservateurs du type coffre, capacité &lt;= 800 l")</f>
        <v xml:space="preserve">   Meubles congélateurs-conservateurs du type coffre, capacité &lt;= 800 l</v>
      </c>
      <c r="C6989">
        <v>27900572</v>
      </c>
      <c r="D6989">
        <v>19156</v>
      </c>
    </row>
    <row r="6990" spans="1:4" x14ac:dyDescent="0.25">
      <c r="A6990" t="str">
        <f>T("   841840")</f>
        <v xml:space="preserve">   841840</v>
      </c>
      <c r="B6990" t="str">
        <f>T("   Meubles congélateurs-conservateurs du type armoire, capacité &lt;= 900 l")</f>
        <v xml:space="preserve">   Meubles congélateurs-conservateurs du type armoire, capacité &lt;= 900 l</v>
      </c>
      <c r="C6990">
        <v>12249504</v>
      </c>
      <c r="D6990">
        <v>12687</v>
      </c>
    </row>
    <row r="6991" spans="1:4" x14ac:dyDescent="0.25">
      <c r="A6991" t="str">
        <f>T("   841850")</f>
        <v xml:space="preserve">   841850</v>
      </c>
      <c r="B6991" t="s">
        <v>427</v>
      </c>
      <c r="C6991">
        <v>131192</v>
      </c>
      <c r="D6991">
        <v>250</v>
      </c>
    </row>
    <row r="6992" spans="1:4" x14ac:dyDescent="0.25">
      <c r="A6992" t="str">
        <f>T("   841869")</f>
        <v xml:space="preserve">   841869</v>
      </c>
      <c r="B699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6992">
        <v>196788</v>
      </c>
      <c r="D6992">
        <v>80</v>
      </c>
    </row>
    <row r="6993" spans="1:4" x14ac:dyDescent="0.25">
      <c r="A6993" t="str">
        <f>T("   841899")</f>
        <v xml:space="preserve">   841899</v>
      </c>
      <c r="B699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6993">
        <v>7750047</v>
      </c>
      <c r="D6993">
        <v>3088</v>
      </c>
    </row>
    <row r="6994" spans="1:4" x14ac:dyDescent="0.25">
      <c r="A6994" t="str">
        <f>T("   841920")</f>
        <v xml:space="preserve">   841920</v>
      </c>
      <c r="B6994" t="str">
        <f>T("   Stérilisateurs médico-chirurgicaux ou de laboratoire")</f>
        <v xml:space="preserve">   Stérilisateurs médico-chirurgicaux ou de laboratoire</v>
      </c>
      <c r="C6994">
        <v>5899048</v>
      </c>
      <c r="D6994">
        <v>571</v>
      </c>
    </row>
    <row r="6995" spans="1:4" x14ac:dyDescent="0.25">
      <c r="A6995" t="str">
        <f>T("   841990")</f>
        <v xml:space="preserve">   841990</v>
      </c>
      <c r="B6995"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6995">
        <v>1171420</v>
      </c>
      <c r="D6995">
        <v>34</v>
      </c>
    </row>
    <row r="6996" spans="1:4" x14ac:dyDescent="0.25">
      <c r="A6996" t="str">
        <f>T("   842129")</f>
        <v xml:space="preserve">   842129</v>
      </c>
      <c r="B699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996">
        <v>3769423</v>
      </c>
      <c r="D6996">
        <v>99</v>
      </c>
    </row>
    <row r="6997" spans="1:4" x14ac:dyDescent="0.25">
      <c r="A6997" t="str">
        <f>T("   842131")</f>
        <v xml:space="preserve">   842131</v>
      </c>
      <c r="B6997" t="str">
        <f>T("   Filtres d'entrée d'air pour moteurs à allumage par étincelles ou par compression")</f>
        <v xml:space="preserve">   Filtres d'entrée d'air pour moteurs à allumage par étincelles ou par compression</v>
      </c>
      <c r="C6997">
        <v>4976027</v>
      </c>
      <c r="D6997">
        <v>629</v>
      </c>
    </row>
    <row r="6998" spans="1:4" x14ac:dyDescent="0.25">
      <c r="A6998" t="str">
        <f>T("   842139")</f>
        <v xml:space="preserve">   842139</v>
      </c>
      <c r="B6998"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6998">
        <v>141637</v>
      </c>
      <c r="D6998">
        <v>150</v>
      </c>
    </row>
    <row r="6999" spans="1:4" x14ac:dyDescent="0.25">
      <c r="A6999" t="str">
        <f>T("   842199")</f>
        <v xml:space="preserve">   842199</v>
      </c>
      <c r="B6999" t="str">
        <f>T("   Parties d'appareils pour la filtration ou l'épuration des liquides ou des gaz, n.d.a.")</f>
        <v xml:space="preserve">   Parties d'appareils pour la filtration ou l'épuration des liquides ou des gaz, n.d.a.</v>
      </c>
      <c r="C6999">
        <v>959669</v>
      </c>
      <c r="D6999">
        <v>44</v>
      </c>
    </row>
    <row r="7000" spans="1:4" x14ac:dyDescent="0.25">
      <c r="A7000" t="str">
        <f>T("   842211")</f>
        <v xml:space="preserve">   842211</v>
      </c>
      <c r="B7000" t="str">
        <f>T("   Machines à laver la vaisselle, de type ménager")</f>
        <v xml:space="preserve">   Machines à laver la vaisselle, de type ménager</v>
      </c>
      <c r="C7000">
        <v>999493</v>
      </c>
      <c r="D7000">
        <v>250</v>
      </c>
    </row>
    <row r="7001" spans="1:4" x14ac:dyDescent="0.25">
      <c r="A7001" t="str">
        <f>T("   842219")</f>
        <v xml:space="preserve">   842219</v>
      </c>
      <c r="B7001" t="str">
        <f>T("   Machines à laver la vaisselle (autres que de type ménager)")</f>
        <v xml:space="preserve">   Machines à laver la vaisselle (autres que de type ménager)</v>
      </c>
      <c r="C7001">
        <v>50000</v>
      </c>
      <c r="D7001">
        <v>25</v>
      </c>
    </row>
    <row r="7002" spans="1:4" x14ac:dyDescent="0.25">
      <c r="A7002" t="str">
        <f>T("   842230")</f>
        <v xml:space="preserve">   842230</v>
      </c>
      <c r="B7002"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002">
        <v>379145</v>
      </c>
      <c r="D7002">
        <v>598</v>
      </c>
    </row>
    <row r="7003" spans="1:4" x14ac:dyDescent="0.25">
      <c r="A7003" t="str">
        <f>T("   842240")</f>
        <v xml:space="preserve">   842240</v>
      </c>
      <c r="B7003" t="s">
        <v>429</v>
      </c>
      <c r="C7003">
        <v>4551050</v>
      </c>
      <c r="D7003">
        <v>1000</v>
      </c>
    </row>
    <row r="7004" spans="1:4" x14ac:dyDescent="0.25">
      <c r="A7004" t="str">
        <f>T("   842290")</f>
        <v xml:space="preserve">   842290</v>
      </c>
      <c r="B7004"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004">
        <v>18503055</v>
      </c>
      <c r="D7004">
        <v>211.45</v>
      </c>
    </row>
    <row r="7005" spans="1:4" x14ac:dyDescent="0.25">
      <c r="A7005" t="str">
        <f>T("   842330")</f>
        <v xml:space="preserve">   842330</v>
      </c>
      <c r="B7005"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7005">
        <v>2610721</v>
      </c>
      <c r="D7005">
        <v>158</v>
      </c>
    </row>
    <row r="7006" spans="1:4" x14ac:dyDescent="0.25">
      <c r="A7006" t="str">
        <f>T("   842390")</f>
        <v xml:space="preserve">   842390</v>
      </c>
      <c r="B7006" t="str">
        <f>T("   Poids pour balances de tous genres; parties d'appareils et instruments de pesage, n.d.a.")</f>
        <v xml:space="preserve">   Poids pour balances de tous genres; parties d'appareils et instruments de pesage, n.d.a.</v>
      </c>
      <c r="C7006">
        <v>721429</v>
      </c>
      <c r="D7006">
        <v>27</v>
      </c>
    </row>
    <row r="7007" spans="1:4" x14ac:dyDescent="0.25">
      <c r="A7007" t="str">
        <f>T("   842410")</f>
        <v xml:space="preserve">   842410</v>
      </c>
      <c r="B7007" t="str">
        <f>T("   Extincteurs mécaniques, même chargés (sauf bombes et grenades d'extinction d'incendie)")</f>
        <v xml:space="preserve">   Extincteurs mécaniques, même chargés (sauf bombes et grenades d'extinction d'incendie)</v>
      </c>
      <c r="C7007">
        <v>36285083</v>
      </c>
      <c r="D7007">
        <v>2383</v>
      </c>
    </row>
    <row r="7008" spans="1:4" x14ac:dyDescent="0.25">
      <c r="A7008" t="str">
        <f>T("   842720")</f>
        <v xml:space="preserve">   842720</v>
      </c>
      <c r="B7008" t="str">
        <f>T("   Chariots de manutention autopropulsés, autres qu'à moteur électrique, avec dispositif de levage")</f>
        <v xml:space="preserve">   Chariots de manutention autopropulsés, autres qu'à moteur électrique, avec dispositif de levage</v>
      </c>
      <c r="C7008">
        <v>7192375</v>
      </c>
      <c r="D7008">
        <v>7200</v>
      </c>
    </row>
    <row r="7009" spans="1:4" x14ac:dyDescent="0.25">
      <c r="A7009" t="str">
        <f>T("   842790")</f>
        <v xml:space="preserve">   842790</v>
      </c>
      <c r="B7009" t="str">
        <f>T("   Chariots de manutention munis d'un dispositif de levage mais non autopropulsés")</f>
        <v xml:space="preserve">   Chariots de manutention munis d'un dispositif de levage mais non autopropulsés</v>
      </c>
      <c r="C7009">
        <v>6560</v>
      </c>
      <c r="D7009">
        <v>10</v>
      </c>
    </row>
    <row r="7010" spans="1:4" x14ac:dyDescent="0.25">
      <c r="A7010" t="str">
        <f>T("   842820")</f>
        <v xml:space="preserve">   842820</v>
      </c>
      <c r="B7010" t="str">
        <f>T("   Appareils élévateurs ou transporteurs, pneumatiques")</f>
        <v xml:space="preserve">   Appareils élévateurs ou transporteurs, pneumatiques</v>
      </c>
      <c r="C7010">
        <v>1035629</v>
      </c>
      <c r="D7010">
        <v>600</v>
      </c>
    </row>
    <row r="7011" spans="1:4" x14ac:dyDescent="0.25">
      <c r="A7011" t="str">
        <f>T("   842833")</f>
        <v xml:space="preserve">   842833</v>
      </c>
      <c r="B7011"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7011">
        <v>1144341242</v>
      </c>
      <c r="D7011">
        <v>185208</v>
      </c>
    </row>
    <row r="7012" spans="1:4" x14ac:dyDescent="0.25">
      <c r="A7012" t="str">
        <f>T("   842839")</f>
        <v xml:space="preserve">   842839</v>
      </c>
      <c r="B7012"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012">
        <v>751177842</v>
      </c>
      <c r="D7012">
        <v>225295</v>
      </c>
    </row>
    <row r="7013" spans="1:4" x14ac:dyDescent="0.25">
      <c r="A7013" t="str">
        <f>T("   842911")</f>
        <v xml:space="preserve">   842911</v>
      </c>
      <c r="B7013" t="str">
        <f>T("   Bouteurs 'bulldozers' et bouteurs biais 'angledozers', à chenilles")</f>
        <v xml:space="preserve">   Bouteurs 'bulldozers' et bouteurs biais 'angledozers', à chenilles</v>
      </c>
      <c r="C7013">
        <v>12572129</v>
      </c>
      <c r="D7013">
        <v>19800</v>
      </c>
    </row>
    <row r="7014" spans="1:4" x14ac:dyDescent="0.25">
      <c r="A7014" t="str">
        <f>T("   842940")</f>
        <v xml:space="preserve">   842940</v>
      </c>
      <c r="B7014" t="str">
        <f>T("   Rouleaux compresseurs et autres compacteuses, autopropulsés")</f>
        <v xml:space="preserve">   Rouleaux compresseurs et autres compacteuses, autopropulsés</v>
      </c>
      <c r="C7014">
        <v>2000000</v>
      </c>
      <c r="D7014">
        <v>2500</v>
      </c>
    </row>
    <row r="7015" spans="1:4" x14ac:dyDescent="0.25">
      <c r="A7015" t="str">
        <f>T("   842951")</f>
        <v xml:space="preserve">   842951</v>
      </c>
      <c r="B7015" t="str">
        <f>T("   Chargeuses et chargeuses-pelleteuses, à chargement frontal, autopropulsées")</f>
        <v xml:space="preserve">   Chargeuses et chargeuses-pelleteuses, à chargement frontal, autopropulsées</v>
      </c>
      <c r="C7015">
        <v>7800000</v>
      </c>
      <c r="D7015">
        <v>22000</v>
      </c>
    </row>
    <row r="7016" spans="1:4" x14ac:dyDescent="0.25">
      <c r="A7016" t="str">
        <f>T("   843041")</f>
        <v xml:space="preserve">   843041</v>
      </c>
      <c r="B7016" t="s">
        <v>433</v>
      </c>
      <c r="C7016">
        <v>23778550</v>
      </c>
      <c r="D7016">
        <v>3560</v>
      </c>
    </row>
    <row r="7017" spans="1:4" x14ac:dyDescent="0.25">
      <c r="A7017" t="str">
        <f>T("   843049")</f>
        <v xml:space="preserve">   843049</v>
      </c>
      <c r="B7017"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7017">
        <v>924644</v>
      </c>
      <c r="D7017">
        <v>160</v>
      </c>
    </row>
    <row r="7018" spans="1:4" x14ac:dyDescent="0.25">
      <c r="A7018" t="str">
        <f>T("   843061")</f>
        <v xml:space="preserve">   843061</v>
      </c>
      <c r="B7018" t="str">
        <f>T("   Machines et appareils à tasser ou à compacter, non autopropulsés (sauf outillage pour emploi à la main)")</f>
        <v xml:space="preserve">   Machines et appareils à tasser ou à compacter, non autopropulsés (sauf outillage pour emploi à la main)</v>
      </c>
      <c r="C7018">
        <v>3935760</v>
      </c>
      <c r="D7018">
        <v>180</v>
      </c>
    </row>
    <row r="7019" spans="1:4" x14ac:dyDescent="0.25">
      <c r="A7019" t="str">
        <f>T("   843069")</f>
        <v xml:space="preserve">   843069</v>
      </c>
      <c r="B7019"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7019">
        <v>6484816</v>
      </c>
      <c r="D7019">
        <v>10120</v>
      </c>
    </row>
    <row r="7020" spans="1:4" x14ac:dyDescent="0.25">
      <c r="A7020" t="str">
        <f>T("   843139")</f>
        <v xml:space="preserve">   843139</v>
      </c>
      <c r="B7020" t="str">
        <f>T("   Parties de machines et appareils du n° 8428, n.d.a.")</f>
        <v xml:space="preserve">   Parties de machines et appareils du n° 8428, n.d.a.</v>
      </c>
      <c r="C7020">
        <v>983940</v>
      </c>
      <c r="D7020">
        <v>437</v>
      </c>
    </row>
    <row r="7021" spans="1:4" x14ac:dyDescent="0.25">
      <c r="A7021" t="str">
        <f>T("   843149")</f>
        <v xml:space="preserve">   843149</v>
      </c>
      <c r="B7021" t="str">
        <f>T("   Parties de machines et appareils du n° 8426, 8429 ou 8430, n.d.a.")</f>
        <v xml:space="preserve">   Parties de machines et appareils du n° 8426, 8429 ou 8430, n.d.a.</v>
      </c>
      <c r="C7021">
        <v>5616595</v>
      </c>
      <c r="D7021">
        <v>30834.17</v>
      </c>
    </row>
    <row r="7022" spans="1:4" x14ac:dyDescent="0.25">
      <c r="A7022" t="str">
        <f>T("   843311")</f>
        <v xml:space="preserve">   843311</v>
      </c>
      <c r="B7022" t="str">
        <f>T("   Tondeuses à gazon à moteur, dont le dispositif de coupe tourne dans un plan horizontal")</f>
        <v xml:space="preserve">   Tondeuses à gazon à moteur, dont le dispositif de coupe tourne dans un plan horizontal</v>
      </c>
      <c r="C7022">
        <v>1585973</v>
      </c>
      <c r="D7022">
        <v>372</v>
      </c>
    </row>
    <row r="7023" spans="1:4" x14ac:dyDescent="0.25">
      <c r="A7023" t="str">
        <f>T("   843390")</f>
        <v xml:space="preserve">   843390</v>
      </c>
      <c r="B7023"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7023">
        <v>720492</v>
      </c>
      <c r="D7023">
        <v>37</v>
      </c>
    </row>
    <row r="7024" spans="1:4" x14ac:dyDescent="0.25">
      <c r="A7024" t="str">
        <f>T("   843680")</f>
        <v xml:space="preserve">   843680</v>
      </c>
      <c r="B7024" t="str">
        <f>T("   Machines et appareils pour l'agriculture, la sylviculture, l'horticulture ou l'apiculture, n.d.a.")</f>
        <v xml:space="preserve">   Machines et appareils pour l'agriculture, la sylviculture, l'horticulture ou l'apiculture, n.d.a.</v>
      </c>
      <c r="C7024">
        <v>439493</v>
      </c>
      <c r="D7024">
        <v>1320</v>
      </c>
    </row>
    <row r="7025" spans="1:4" x14ac:dyDescent="0.25">
      <c r="A7025" t="str">
        <f>T("   843810")</f>
        <v xml:space="preserve">   843810</v>
      </c>
      <c r="B7025" t="s">
        <v>440</v>
      </c>
      <c r="C7025">
        <v>4755032</v>
      </c>
      <c r="D7025">
        <v>2125</v>
      </c>
    </row>
    <row r="7026" spans="1:4" x14ac:dyDescent="0.25">
      <c r="A7026" t="str">
        <f>T("   843830")</f>
        <v xml:space="preserve">   843830</v>
      </c>
      <c r="B7026" t="str">
        <f>T("   Machines et appareils pour la fabrication industrielle de sucre (sauf centrifugeuses et sauf appareils de filtrage, appareils thermiques et appareils de refroidissement)")</f>
        <v xml:space="preserve">   Machines et appareils pour la fabrication industrielle de sucre (sauf centrifugeuses et sauf appareils de filtrage, appareils thermiques et appareils de refroidissement)</v>
      </c>
      <c r="C7026">
        <v>70365</v>
      </c>
      <c r="D7026">
        <v>9</v>
      </c>
    </row>
    <row r="7027" spans="1:4" x14ac:dyDescent="0.25">
      <c r="A7027" t="str">
        <f>T("   843880")</f>
        <v xml:space="preserve">   843880</v>
      </c>
      <c r="B7027" t="str">
        <f>T("   Machines et appareils pour la préparation ou la fabrication industrielles d'aliments ou de boissons, n.d.a.")</f>
        <v xml:space="preserve">   Machines et appareils pour la préparation ou la fabrication industrielles d'aliments ou de boissons, n.d.a.</v>
      </c>
      <c r="C7027">
        <v>2933066</v>
      </c>
      <c r="D7027">
        <v>3196</v>
      </c>
    </row>
    <row r="7028" spans="1:4" x14ac:dyDescent="0.25">
      <c r="A7028" t="str">
        <f>T("   843890")</f>
        <v xml:space="preserve">   843890</v>
      </c>
      <c r="B7028"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7028">
        <v>9157772</v>
      </c>
      <c r="D7028">
        <v>99.35</v>
      </c>
    </row>
    <row r="7029" spans="1:4" x14ac:dyDescent="0.25">
      <c r="A7029" t="str">
        <f>T("   844313")</f>
        <v xml:space="preserve">   844313</v>
      </c>
      <c r="B7029" t="str">
        <f>T("   MACHINES ET APPAREILS À IMPRIMER OFFSET (À L'EXCL. DES MACHINES ET APPAREILS OFFSET ALIMENTÉS EN FEUILLES DE FORMAT &lt;= 22 X 36 CM ET DES MACHINES ET APPAREILS OFFSET ALIMENTÉS EN BOBINES)")</f>
        <v xml:space="preserve">   MACHINES ET APPAREILS À IMPRIMER OFFSET (À L'EXCL. DES MACHINES ET APPAREILS OFFSET ALIMENTÉS EN FEUILLES DE FORMAT &lt;= 22 X 36 CM ET DES MACHINES ET APPAREILS OFFSET ALIMENTÉS EN BOBINES)</v>
      </c>
      <c r="C7029">
        <v>1225000</v>
      </c>
      <c r="D7029">
        <v>380</v>
      </c>
    </row>
    <row r="7030" spans="1:4" x14ac:dyDescent="0.25">
      <c r="A7030" t="str">
        <f>T("   844315")</f>
        <v xml:space="preserve">   844315</v>
      </c>
      <c r="B7030" t="str">
        <f>T("   MACHINES ET APPAREILS À IMPRIMER, TYPOGRAPHIQUES (SAUF MACHINES ET APPAREILS FLEXOGRAPHIQUES AINSI QUE MACHINES ET APPAREILS À IMPRIMER TYPOGRAPHIQUES ALIMENTÉS EN BOBINES)")</f>
        <v xml:space="preserve">   MACHINES ET APPAREILS À IMPRIMER, TYPOGRAPHIQUES (SAUF MACHINES ET APPAREILS FLEXOGRAPHIQUES AINSI QUE MACHINES ET APPAREILS À IMPRIMER TYPOGRAPHIQUES ALIMENTÉS EN BOBINES)</v>
      </c>
      <c r="C7030">
        <v>2718298</v>
      </c>
      <c r="D7030">
        <v>2146</v>
      </c>
    </row>
    <row r="7031" spans="1:4" x14ac:dyDescent="0.25">
      <c r="A7031" t="str">
        <f>T("   844319")</f>
        <v xml:space="preserve">   844319</v>
      </c>
      <c r="B7031" t="s">
        <v>443</v>
      </c>
      <c r="C7031">
        <v>29205897</v>
      </c>
      <c r="D7031">
        <v>5949</v>
      </c>
    </row>
    <row r="7032" spans="1:4" x14ac:dyDescent="0.25">
      <c r="A7032" t="str">
        <f>T("   844399")</f>
        <v xml:space="preserve">   844399</v>
      </c>
      <c r="B7032" t="str">
        <f>T("   PARTIES ET ACCESSOIRES D'IMPRIMANTES, DE MACHINES À COPIER ET DE MACHINES À TÉLÉCOPIER, N.D.A. (À L'EXCL. DE MACHINES ET D'APPAREILS SERVANT À L'IMPRESSION AU MOYEN DE PLANCHES, CYLINDRES ET AUTRES ORGANES IMPRIMANTS DU N° 8442)")</f>
        <v xml:space="preserve">   PARTIES ET ACCESSOIRES D'IMPRIMANTES, DE MACHINES À COPIER ET DE MACHINES À TÉLÉCOPIER, N.D.A. (À L'EXCL. DE MACHINES ET D'APPAREILS SERVANT À L'IMPRESSION AU MOYEN DE PLANCHES, CYLINDRES ET AUTRES ORGANES IMPRIMANTS DU N° 8442)</v>
      </c>
      <c r="C7032">
        <v>6000067</v>
      </c>
      <c r="D7032">
        <v>8900</v>
      </c>
    </row>
    <row r="7033" spans="1:4" x14ac:dyDescent="0.25">
      <c r="A7033" t="str">
        <f>T("   845011")</f>
        <v xml:space="preserve">   845011</v>
      </c>
      <c r="B7033" t="str">
        <f>T("   Machines à laver le linge entièrement automatiques, d'une capacité unitaire exprimée en poids de linge sec &lt;= 6 kg")</f>
        <v xml:space="preserve">   Machines à laver le linge entièrement automatiques, d'une capacité unitaire exprimée en poids de linge sec &lt;= 6 kg</v>
      </c>
      <c r="C7033">
        <v>7563731</v>
      </c>
      <c r="D7033">
        <v>5507</v>
      </c>
    </row>
    <row r="7034" spans="1:4" x14ac:dyDescent="0.25">
      <c r="A7034" t="str">
        <f>T("   845019")</f>
        <v xml:space="preserve">   845019</v>
      </c>
      <c r="B703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034">
        <v>383973</v>
      </c>
      <c r="D7034">
        <v>1303</v>
      </c>
    </row>
    <row r="7035" spans="1:4" x14ac:dyDescent="0.25">
      <c r="A7035" t="str">
        <f>T("   845090")</f>
        <v xml:space="preserve">   845090</v>
      </c>
      <c r="B7035" t="str">
        <f>T("   Parties de machines à laver le linge, n.d.a.")</f>
        <v xml:space="preserve">   Parties de machines à laver le linge, n.d.a.</v>
      </c>
      <c r="C7035">
        <v>16570</v>
      </c>
      <c r="D7035">
        <v>1</v>
      </c>
    </row>
    <row r="7036" spans="1:4" x14ac:dyDescent="0.25">
      <c r="A7036" t="str">
        <f>T("   845210")</f>
        <v xml:space="preserve">   845210</v>
      </c>
      <c r="B7036" t="str">
        <f>T("   Machines à coudre de type ménager")</f>
        <v xml:space="preserve">   Machines à coudre de type ménager</v>
      </c>
      <c r="C7036">
        <v>509681</v>
      </c>
      <c r="D7036">
        <v>2535</v>
      </c>
    </row>
    <row r="7037" spans="1:4" x14ac:dyDescent="0.25">
      <c r="A7037" t="str">
        <f>T("   845229")</f>
        <v xml:space="preserve">   845229</v>
      </c>
      <c r="B7037" t="str">
        <f>T("   Machines à coudre de type industriel (sauf unités automatiques)")</f>
        <v xml:space="preserve">   Machines à coudre de type industriel (sauf unités automatiques)</v>
      </c>
      <c r="C7037">
        <v>306051</v>
      </c>
      <c r="D7037">
        <v>185</v>
      </c>
    </row>
    <row r="7038" spans="1:4" x14ac:dyDescent="0.25">
      <c r="A7038" t="str">
        <f>T("   846595")</f>
        <v xml:space="preserve">   846595</v>
      </c>
      <c r="B7038" t="s">
        <v>454</v>
      </c>
      <c r="C7038">
        <v>350000</v>
      </c>
      <c r="D7038">
        <v>450</v>
      </c>
    </row>
    <row r="7039" spans="1:4" x14ac:dyDescent="0.25">
      <c r="A7039" t="str">
        <f>T("   846599")</f>
        <v xml:space="preserve">   846599</v>
      </c>
      <c r="B7039" t="s">
        <v>455</v>
      </c>
      <c r="C7039">
        <v>89406240</v>
      </c>
      <c r="D7039">
        <v>71238.23</v>
      </c>
    </row>
    <row r="7040" spans="1:4" x14ac:dyDescent="0.25">
      <c r="A7040" t="str">
        <f>T("   846620")</f>
        <v xml:space="preserve">   846620</v>
      </c>
      <c r="B7040" t="str">
        <f>T("   Porte-pièces pour machines-outils")</f>
        <v xml:space="preserve">   Porte-pièces pour machines-outils</v>
      </c>
      <c r="C7040">
        <v>2124552</v>
      </c>
      <c r="D7040">
        <v>2900</v>
      </c>
    </row>
    <row r="7041" spans="1:4" x14ac:dyDescent="0.25">
      <c r="A7041" t="str">
        <f>T("   846694")</f>
        <v xml:space="preserve">   846694</v>
      </c>
      <c r="B7041" t="str">
        <f>T("   Parties et accessoires pour machines-outils pour le travail du métal avec enlèvement de matière, n.d.a.")</f>
        <v xml:space="preserve">   Parties et accessoires pour machines-outils pour le travail du métal avec enlèvement de matière, n.d.a.</v>
      </c>
      <c r="C7041">
        <v>174208</v>
      </c>
      <c r="D7041">
        <v>20</v>
      </c>
    </row>
    <row r="7042" spans="1:4" x14ac:dyDescent="0.25">
      <c r="A7042" t="str">
        <f>T("   846719")</f>
        <v xml:space="preserve">   846719</v>
      </c>
      <c r="B7042"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7042">
        <v>105432</v>
      </c>
      <c r="D7042">
        <v>10</v>
      </c>
    </row>
    <row r="7043" spans="1:4" x14ac:dyDescent="0.25">
      <c r="A7043" t="str">
        <f>T("   846789")</f>
        <v xml:space="preserve">   846789</v>
      </c>
      <c r="B7043"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7043">
        <v>7835521</v>
      </c>
      <c r="D7043">
        <v>865</v>
      </c>
    </row>
    <row r="7044" spans="1:4" x14ac:dyDescent="0.25">
      <c r="A7044" t="str">
        <f>T("   846799")</f>
        <v xml:space="preserve">   846799</v>
      </c>
      <c r="B7044" t="str">
        <f>T("   Parties d'outils pour emploi à la main, hydrauliques ou à moteur électrique ou non électrique incorporé, n.d.a.")</f>
        <v xml:space="preserve">   Parties d'outils pour emploi à la main, hydrauliques ou à moteur électrique ou non électrique incorporé, n.d.a.</v>
      </c>
      <c r="C7044">
        <v>1308958</v>
      </c>
      <c r="D7044">
        <v>44</v>
      </c>
    </row>
    <row r="7045" spans="1:4" x14ac:dyDescent="0.25">
      <c r="A7045" t="str">
        <f>T("   847030")</f>
        <v xml:space="preserve">   847030</v>
      </c>
      <c r="B7045" t="str">
        <f>T("   Machines à calculer autres qu'électroniques")</f>
        <v xml:space="preserve">   Machines à calculer autres qu'électroniques</v>
      </c>
      <c r="C7045">
        <v>43293</v>
      </c>
      <c r="D7045">
        <v>31</v>
      </c>
    </row>
    <row r="7046" spans="1:4" x14ac:dyDescent="0.25">
      <c r="A7046" t="str">
        <f>T("   847141")</f>
        <v xml:space="preserve">   847141</v>
      </c>
      <c r="B7046" t="s">
        <v>458</v>
      </c>
      <c r="C7046">
        <v>97082</v>
      </c>
      <c r="D7046">
        <v>210</v>
      </c>
    </row>
    <row r="7047" spans="1:4" x14ac:dyDescent="0.25">
      <c r="A7047" t="str">
        <f>T("   847149")</f>
        <v xml:space="preserve">   847149</v>
      </c>
      <c r="B7047" t="s">
        <v>459</v>
      </c>
      <c r="C7047">
        <v>1895069</v>
      </c>
      <c r="D7047">
        <v>1950</v>
      </c>
    </row>
    <row r="7048" spans="1:4" x14ac:dyDescent="0.25">
      <c r="A7048" t="str">
        <f>T("   847180")</f>
        <v xml:space="preserve">   847180</v>
      </c>
      <c r="B704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048">
        <v>391024</v>
      </c>
      <c r="D7048">
        <v>458</v>
      </c>
    </row>
    <row r="7049" spans="1:4" x14ac:dyDescent="0.25">
      <c r="A7049" t="str">
        <f>T("   847190")</f>
        <v xml:space="preserve">   847190</v>
      </c>
      <c r="B704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049">
        <v>3190368</v>
      </c>
      <c r="D7049">
        <v>220</v>
      </c>
    </row>
    <row r="7050" spans="1:4" x14ac:dyDescent="0.25">
      <c r="A7050" t="str">
        <f>T("   847191")</f>
        <v xml:space="preserve">   847191</v>
      </c>
      <c r="B7050" t="str">
        <f>T("   MACHINES AUTOMATIQUES DE TRAITEMENT DE L'INFORMATION, NUMÉRIQUES, NON COMBINEES AVEC UNE UNITE D'ENTREE ET UNE UNITE DE SORTIE (À L'EXCL. DES UNITES PÉRIPHÉRIQUES)")</f>
        <v xml:space="preserve">   MACHINES AUTOMATIQUES DE TRAITEMENT DE L'INFORMATION, NUMÉRIQUES, NON COMBINEES AVEC UNE UNITE D'ENTREE ET UNE UNITE DE SORTIE (À L'EXCL. DES UNITES PÉRIPHÉRIQUES)</v>
      </c>
      <c r="C7050">
        <v>400136</v>
      </c>
      <c r="D7050">
        <v>320</v>
      </c>
    </row>
    <row r="7051" spans="1:4" x14ac:dyDescent="0.25">
      <c r="A7051" t="str">
        <f>T("   847431")</f>
        <v xml:space="preserve">   847431</v>
      </c>
      <c r="B705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051">
        <v>6297216</v>
      </c>
      <c r="D7051">
        <v>4200</v>
      </c>
    </row>
    <row r="7052" spans="1:4" x14ac:dyDescent="0.25">
      <c r="A7052" t="str">
        <f>T("   847490")</f>
        <v xml:space="preserve">   847490</v>
      </c>
      <c r="B7052" t="str">
        <f>T("   Parties des machines et appareils pour le travail des matières minérales du n° 8474, n.d.a.")</f>
        <v xml:space="preserve">   Parties des machines et appareils pour le travail des matières minérales du n° 8474, n.d.a.</v>
      </c>
      <c r="C7052">
        <v>169062</v>
      </c>
      <c r="D7052">
        <v>0.1</v>
      </c>
    </row>
    <row r="7053" spans="1:4" x14ac:dyDescent="0.25">
      <c r="A7053" t="str">
        <f>T("   847780")</f>
        <v xml:space="preserve">   847780</v>
      </c>
      <c r="B7053"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7053">
        <v>35288018</v>
      </c>
      <c r="D7053">
        <v>5553</v>
      </c>
    </row>
    <row r="7054" spans="1:4" x14ac:dyDescent="0.25">
      <c r="A7054" t="str">
        <f>T("   847981")</f>
        <v xml:space="preserve">   847981</v>
      </c>
      <c r="B7054" t="s">
        <v>465</v>
      </c>
      <c r="C7054">
        <v>35946608</v>
      </c>
      <c r="D7054">
        <v>17306</v>
      </c>
    </row>
    <row r="7055" spans="1:4" x14ac:dyDescent="0.25">
      <c r="A7055" t="str">
        <f>T("   847982")</f>
        <v xml:space="preserve">   847982</v>
      </c>
      <c r="B7055"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7055">
        <v>2203245</v>
      </c>
      <c r="D7055">
        <v>30</v>
      </c>
    </row>
    <row r="7056" spans="1:4" x14ac:dyDescent="0.25">
      <c r="A7056" t="str">
        <f>T("   847990")</f>
        <v xml:space="preserve">   847990</v>
      </c>
      <c r="B7056" t="str">
        <f>T("   Parties de machines et appareils, y.c. les appareils mécaniques, n.d.a.")</f>
        <v xml:space="preserve">   Parties de machines et appareils, y.c. les appareils mécaniques, n.d.a.</v>
      </c>
      <c r="C7056">
        <v>537218</v>
      </c>
      <c r="D7056">
        <v>70</v>
      </c>
    </row>
    <row r="7057" spans="1:4" x14ac:dyDescent="0.25">
      <c r="A7057" t="str">
        <f>T("   848041")</f>
        <v xml:space="preserve">   848041</v>
      </c>
      <c r="B7057"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7057">
        <v>1782991</v>
      </c>
      <c r="D7057">
        <v>30</v>
      </c>
    </row>
    <row r="7058" spans="1:4" x14ac:dyDescent="0.25">
      <c r="A7058" t="str">
        <f>T("   848079")</f>
        <v xml:space="preserve">   848079</v>
      </c>
      <c r="B7058" t="s">
        <v>466</v>
      </c>
      <c r="C7058">
        <v>19105491</v>
      </c>
      <c r="D7058">
        <v>1000</v>
      </c>
    </row>
    <row r="7059" spans="1:4" x14ac:dyDescent="0.25">
      <c r="A7059" t="str">
        <f>T("   848180")</f>
        <v xml:space="preserve">   848180</v>
      </c>
      <c r="B705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059">
        <v>22979195</v>
      </c>
      <c r="D7059">
        <v>8260</v>
      </c>
    </row>
    <row r="7060" spans="1:4" x14ac:dyDescent="0.25">
      <c r="A7060" t="str">
        <f>T("   848280")</f>
        <v xml:space="preserve">   848280</v>
      </c>
      <c r="B7060" t="s">
        <v>467</v>
      </c>
      <c r="C7060">
        <v>750786</v>
      </c>
      <c r="D7060">
        <v>1.4</v>
      </c>
    </row>
    <row r="7061" spans="1:4" x14ac:dyDescent="0.25">
      <c r="A7061" t="str">
        <f>T("   848299")</f>
        <v xml:space="preserve">   848299</v>
      </c>
      <c r="B7061" t="str">
        <f>T("   Parties de roulements à billes, à galets, à rouleaux ou à aiguilles (à l'excl. de leur organe de roulement), n.d.a.")</f>
        <v xml:space="preserve">   Parties de roulements à billes, à galets, à rouleaux ou à aiguilles (à l'excl. de leur organe de roulement), n.d.a.</v>
      </c>
      <c r="C7061">
        <v>3184686</v>
      </c>
      <c r="D7061">
        <v>47</v>
      </c>
    </row>
    <row r="7062" spans="1:4" x14ac:dyDescent="0.25">
      <c r="A7062" t="str">
        <f>T("   848490")</f>
        <v xml:space="preserve">   848490</v>
      </c>
      <c r="B7062" t="str">
        <f>T("   Jeux ou assortiments de joints de composition différente présentés en pochettes, enveloppes ou emballages analogues")</f>
        <v xml:space="preserve">   Jeux ou assortiments de joints de composition différente présentés en pochettes, enveloppes ou emballages analogues</v>
      </c>
      <c r="C7062">
        <v>657446</v>
      </c>
      <c r="D7062">
        <v>20</v>
      </c>
    </row>
    <row r="7063" spans="1:4" x14ac:dyDescent="0.25">
      <c r="A7063" t="str">
        <f>T("   850120")</f>
        <v xml:space="preserve">   850120</v>
      </c>
      <c r="B7063" t="str">
        <f>T("   Moteurs universels, puissance &gt; 37,5 W")</f>
        <v xml:space="preserve">   Moteurs universels, puissance &gt; 37,5 W</v>
      </c>
      <c r="C7063">
        <v>262384</v>
      </c>
      <c r="D7063">
        <v>50</v>
      </c>
    </row>
    <row r="7064" spans="1:4" x14ac:dyDescent="0.25">
      <c r="A7064" t="str">
        <f>T("   850211")</f>
        <v xml:space="preserve">   850211</v>
      </c>
      <c r="B7064" t="s">
        <v>470</v>
      </c>
      <c r="C7064">
        <v>130830225</v>
      </c>
      <c r="D7064">
        <v>21168</v>
      </c>
    </row>
    <row r="7065" spans="1:4" x14ac:dyDescent="0.25">
      <c r="A7065" t="str">
        <f>T("   850212")</f>
        <v xml:space="preserve">   850212</v>
      </c>
      <c r="B706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065">
        <v>72801720</v>
      </c>
      <c r="D7065">
        <v>21702.86</v>
      </c>
    </row>
    <row r="7066" spans="1:4" x14ac:dyDescent="0.25">
      <c r="A7066" t="str">
        <f>T("   850239")</f>
        <v xml:space="preserve">   850239</v>
      </c>
      <c r="B7066" t="str">
        <f>T("   Groupes électrogènes (autres qu'à énergie éolienne et à moteurs à piston)")</f>
        <v xml:space="preserve">   Groupes électrogènes (autres qu'à énergie éolienne et à moteurs à piston)</v>
      </c>
      <c r="C7066">
        <v>101178657</v>
      </c>
      <c r="D7066">
        <v>36695</v>
      </c>
    </row>
    <row r="7067" spans="1:4" x14ac:dyDescent="0.25">
      <c r="A7067" t="str">
        <f>T("   850300")</f>
        <v xml:space="preserve">   850300</v>
      </c>
      <c r="B7067"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067">
        <v>9206213</v>
      </c>
      <c r="D7067">
        <v>202</v>
      </c>
    </row>
    <row r="7068" spans="1:4" x14ac:dyDescent="0.25">
      <c r="A7068" t="str">
        <f>T("   850432")</f>
        <v xml:space="preserve">   850432</v>
      </c>
      <c r="B7068" t="str">
        <f>T("   Transformateurs à sec, puissance &gt; 1 kVA mais &lt;= 16 kVA")</f>
        <v xml:space="preserve">   Transformateurs à sec, puissance &gt; 1 kVA mais &lt;= 16 kVA</v>
      </c>
      <c r="C7068">
        <v>570340165</v>
      </c>
      <c r="D7068">
        <v>51586</v>
      </c>
    </row>
    <row r="7069" spans="1:4" x14ac:dyDescent="0.25">
      <c r="A7069" t="str">
        <f>T("   850450")</f>
        <v xml:space="preserve">   850450</v>
      </c>
      <c r="B7069" t="str">
        <f>T("   Bobines de réactance et autres selfs (autres que pour lampes ou tubes à décharge)")</f>
        <v xml:space="preserve">   Bobines de réactance et autres selfs (autres que pour lampes ou tubes à décharge)</v>
      </c>
      <c r="C7069">
        <v>2804229</v>
      </c>
      <c r="D7069">
        <v>1044</v>
      </c>
    </row>
    <row r="7070" spans="1:4" x14ac:dyDescent="0.25">
      <c r="A7070" t="str">
        <f>T("   850490")</f>
        <v xml:space="preserve">   850490</v>
      </c>
      <c r="B7070" t="str">
        <f>T("   Parties de transformateurs, de bobines de réactance et selfs n.d.a.")</f>
        <v xml:space="preserve">   Parties de transformateurs, de bobines de réactance et selfs n.d.a.</v>
      </c>
      <c r="C7070">
        <v>1821453</v>
      </c>
      <c r="D7070">
        <v>10</v>
      </c>
    </row>
    <row r="7071" spans="1:4" x14ac:dyDescent="0.25">
      <c r="A7071" t="str">
        <f>T("   850710")</f>
        <v xml:space="preserve">   850710</v>
      </c>
      <c r="B7071" t="str">
        <f>T("   Accumulateurs au plomb, pour le démarrage des moteurs à piston (sauf hors d'usage)")</f>
        <v xml:space="preserve">   Accumulateurs au plomb, pour le démarrage des moteurs à piston (sauf hors d'usage)</v>
      </c>
      <c r="C7071">
        <v>2507079</v>
      </c>
      <c r="D7071">
        <v>4590</v>
      </c>
    </row>
    <row r="7072" spans="1:4" x14ac:dyDescent="0.25">
      <c r="A7072" t="str">
        <f>T("   850980")</f>
        <v xml:space="preserve">   850980</v>
      </c>
      <c r="B7072" t="s">
        <v>473</v>
      </c>
      <c r="C7072">
        <v>3291246</v>
      </c>
      <c r="D7072">
        <v>6131</v>
      </c>
    </row>
    <row r="7073" spans="1:4" x14ac:dyDescent="0.25">
      <c r="A7073" t="str">
        <f>T("   851220")</f>
        <v xml:space="preserve">   851220</v>
      </c>
      <c r="B7073" t="str">
        <f>T("   Appareils électriques d'éclairage ou de signalisation visuelle, pour automobiles (à l'excl. des lampes du n° 8539)")</f>
        <v xml:space="preserve">   Appareils électriques d'éclairage ou de signalisation visuelle, pour automobiles (à l'excl. des lampes du n° 8539)</v>
      </c>
      <c r="C7073">
        <v>2068130</v>
      </c>
      <c r="D7073">
        <v>447</v>
      </c>
    </row>
    <row r="7074" spans="1:4" x14ac:dyDescent="0.25">
      <c r="A7074" t="str">
        <f>T("   851230")</f>
        <v xml:space="preserve">   851230</v>
      </c>
      <c r="B7074" t="str">
        <f>T("   APPAREILS ÉLECTRIQUES DE SIGNALISATION ACOUSTIQUE, POUR CYCLES OU POUR AUTOMOBILES")</f>
        <v xml:space="preserve">   APPAREILS ÉLECTRIQUES DE SIGNALISATION ACOUSTIQUE, POUR CYCLES OU POUR AUTOMOBILES</v>
      </c>
      <c r="C7074">
        <v>2643519</v>
      </c>
      <c r="D7074">
        <v>141</v>
      </c>
    </row>
    <row r="7075" spans="1:4" x14ac:dyDescent="0.25">
      <c r="A7075" t="str">
        <f>T("   851529")</f>
        <v xml:space="preserve">   851529</v>
      </c>
      <c r="B7075" t="str">
        <f>T("   MACHINES ET APPAREILS POUR LE SOUDAGE DES MÉTAUX PAR RÉSISTANCE, NON-AUTOMATIQUES")</f>
        <v xml:space="preserve">   MACHINES ET APPAREILS POUR LE SOUDAGE DES MÉTAUX PAR RÉSISTANCE, NON-AUTOMATIQUES</v>
      </c>
      <c r="C7075">
        <v>2459195</v>
      </c>
      <c r="D7075">
        <v>2085</v>
      </c>
    </row>
    <row r="7076" spans="1:4" x14ac:dyDescent="0.25">
      <c r="A7076" t="str">
        <f>T("   851539")</f>
        <v xml:space="preserve">   851539</v>
      </c>
      <c r="B7076" t="str">
        <f>T("   MACHINES ET APPAREILS POUR LE SOUDAGE DES MÉTAUX À L'ARC OU AU JET DE PLASMA, NON-AUTOMATIQUES")</f>
        <v xml:space="preserve">   MACHINES ET APPAREILS POUR LE SOUDAGE DES MÉTAUX À L'ARC OU AU JET DE PLASMA, NON-AUTOMATIQUES</v>
      </c>
      <c r="C7076">
        <v>5936359</v>
      </c>
      <c r="D7076">
        <v>6500</v>
      </c>
    </row>
    <row r="7077" spans="1:4" x14ac:dyDescent="0.25">
      <c r="A7077" t="str">
        <f>T("   851580")</f>
        <v xml:space="preserve">   851580</v>
      </c>
      <c r="B7077" t="s">
        <v>477</v>
      </c>
      <c r="C7077">
        <v>10497985</v>
      </c>
      <c r="D7077">
        <v>881</v>
      </c>
    </row>
    <row r="7078" spans="1:4" x14ac:dyDescent="0.25">
      <c r="A7078" t="str">
        <f>T("   851590")</f>
        <v xml:space="preserve">   851590</v>
      </c>
      <c r="B7078"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7078">
        <v>566749</v>
      </c>
      <c r="D7078">
        <v>4.5</v>
      </c>
    </row>
    <row r="7079" spans="1:4" x14ac:dyDescent="0.25">
      <c r="A7079" t="str">
        <f>T("   851640")</f>
        <v xml:space="preserve">   851640</v>
      </c>
      <c r="B7079" t="str">
        <f>T("   Fers à repasser électriques")</f>
        <v xml:space="preserve">   Fers à repasser électriques</v>
      </c>
      <c r="C7079">
        <v>91834</v>
      </c>
      <c r="D7079">
        <v>575</v>
      </c>
    </row>
    <row r="7080" spans="1:4" x14ac:dyDescent="0.25">
      <c r="A7080" t="str">
        <f>T("   851650")</f>
        <v xml:space="preserve">   851650</v>
      </c>
      <c r="B7080" t="str">
        <f>T("   Fours à micro-ondes")</f>
        <v xml:space="preserve">   Fours à micro-ondes</v>
      </c>
      <c r="C7080">
        <v>90592</v>
      </c>
      <c r="D7080">
        <v>611</v>
      </c>
    </row>
    <row r="7081" spans="1:4" x14ac:dyDescent="0.25">
      <c r="A7081" t="str">
        <f>T("   851660")</f>
        <v xml:space="preserve">   851660</v>
      </c>
      <c r="B708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081">
        <v>8800700</v>
      </c>
      <c r="D7081">
        <v>7588</v>
      </c>
    </row>
    <row r="7082" spans="1:4" x14ac:dyDescent="0.25">
      <c r="A7082" t="str">
        <f>T("   851671")</f>
        <v xml:space="preserve">   851671</v>
      </c>
      <c r="B7082" t="str">
        <f>T("   Appareils électriques pour la préparation du café ou du thé, pour usages domestiques")</f>
        <v xml:space="preserve">   Appareils électriques pour la préparation du café ou du thé, pour usages domestiques</v>
      </c>
      <c r="C7082">
        <v>3549301</v>
      </c>
      <c r="D7082">
        <v>660</v>
      </c>
    </row>
    <row r="7083" spans="1:4" x14ac:dyDescent="0.25">
      <c r="A7083" t="str">
        <f>T("   851679")</f>
        <v xml:space="preserve">   851679</v>
      </c>
      <c r="B7083" t="s">
        <v>478</v>
      </c>
      <c r="C7083">
        <v>3626009</v>
      </c>
      <c r="D7083">
        <v>2662</v>
      </c>
    </row>
    <row r="7084" spans="1:4" x14ac:dyDescent="0.25">
      <c r="A7084" t="str">
        <f>T("   851680")</f>
        <v xml:space="preserve">   851680</v>
      </c>
      <c r="B7084" t="str">
        <f>T("   Résistances chauffantes (autres qu'en charbon aggloméré ou graphite)")</f>
        <v xml:space="preserve">   Résistances chauffantes (autres qu'en charbon aggloméré ou graphite)</v>
      </c>
      <c r="C7084">
        <v>105695</v>
      </c>
      <c r="D7084">
        <v>150</v>
      </c>
    </row>
    <row r="7085" spans="1:4" x14ac:dyDescent="0.25">
      <c r="A7085" t="str">
        <f>T("   851718")</f>
        <v xml:space="preserve">   851718</v>
      </c>
      <c r="B7085"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7085">
        <v>587856</v>
      </c>
      <c r="D7085">
        <v>10</v>
      </c>
    </row>
    <row r="7086" spans="1:4" x14ac:dyDescent="0.25">
      <c r="A7086" t="str">
        <f>T("   851761")</f>
        <v xml:space="preserve">   851761</v>
      </c>
      <c r="B7086" t="str">
        <f>T("   STATIONS DE BASE POUR LA TRANSMISSION OU LA RÉCEPTION DE LA VOIX, D'IMAGES OU D'AUTRES DONNÉES, D'UN RESEAU SANS FIL")</f>
        <v xml:space="preserve">   STATIONS DE BASE POUR LA TRANSMISSION OU LA RÉCEPTION DE LA VOIX, D'IMAGES OU D'AUTRES DONNÉES, D'UN RESEAU SANS FIL</v>
      </c>
      <c r="C7086">
        <v>29308863</v>
      </c>
      <c r="D7086">
        <v>1971</v>
      </c>
    </row>
    <row r="7087" spans="1:4" x14ac:dyDescent="0.25">
      <c r="A7087" t="str">
        <f>T("   851769")</f>
        <v xml:space="preserve">   851769</v>
      </c>
      <c r="B7087" t="s">
        <v>481</v>
      </c>
      <c r="C7087">
        <v>18939599</v>
      </c>
      <c r="D7087">
        <v>1663</v>
      </c>
    </row>
    <row r="7088" spans="1:4" x14ac:dyDescent="0.25">
      <c r="A7088" t="str">
        <f>T("   851829")</f>
        <v xml:space="preserve">   851829</v>
      </c>
      <c r="B7088" t="str">
        <f>T("   Haut-parleurs sans enceinte")</f>
        <v xml:space="preserve">   Haut-parleurs sans enceinte</v>
      </c>
      <c r="C7088">
        <v>1080000</v>
      </c>
      <c r="D7088">
        <v>300</v>
      </c>
    </row>
    <row r="7089" spans="1:4" x14ac:dyDescent="0.25">
      <c r="A7089" t="str">
        <f>T("   851930")</f>
        <v xml:space="preserve">   851930</v>
      </c>
      <c r="B7089" t="str">
        <f>T("   TOURNE-DISQUES")</f>
        <v xml:space="preserve">   TOURNE-DISQUES</v>
      </c>
      <c r="C7089">
        <v>4876433</v>
      </c>
      <c r="D7089">
        <v>510</v>
      </c>
    </row>
    <row r="7090" spans="1:4" x14ac:dyDescent="0.25">
      <c r="A7090" t="str">
        <f>T("   852190")</f>
        <v xml:space="preserve">   852190</v>
      </c>
      <c r="B7090" t="s">
        <v>487</v>
      </c>
      <c r="C7090">
        <v>6304622</v>
      </c>
      <c r="D7090">
        <v>575</v>
      </c>
    </row>
    <row r="7091" spans="1:4" x14ac:dyDescent="0.25">
      <c r="A7091" t="str">
        <f>T("   852550")</f>
        <v xml:space="preserve">   852550</v>
      </c>
      <c r="B7091" t="str">
        <f>T("   APPAREILS D'ÉMISSION POUR LA RADIODIFFUSION OU LA TÉLÉVISION, SANS APPAREIL DE RÉCEPTION")</f>
        <v xml:space="preserve">   APPAREILS D'ÉMISSION POUR LA RADIODIFFUSION OU LA TÉLÉVISION, SANS APPAREIL DE RÉCEPTION</v>
      </c>
      <c r="C7091">
        <v>932024</v>
      </c>
      <c r="D7091">
        <v>650</v>
      </c>
    </row>
    <row r="7092" spans="1:4" x14ac:dyDescent="0.25">
      <c r="A7092" t="str">
        <f>T("   852692")</f>
        <v xml:space="preserve">   852692</v>
      </c>
      <c r="B7092" t="str">
        <f>T("   Appareils de radiotélécommande")</f>
        <v xml:space="preserve">   Appareils de radiotélécommande</v>
      </c>
      <c r="C7092">
        <v>4343767</v>
      </c>
      <c r="D7092">
        <v>370</v>
      </c>
    </row>
    <row r="7093" spans="1:4" x14ac:dyDescent="0.25">
      <c r="A7093" t="str">
        <f>T("   852799")</f>
        <v xml:space="preserve">   852799</v>
      </c>
      <c r="B7093"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7093">
        <v>250249</v>
      </c>
      <c r="D7093">
        <v>925</v>
      </c>
    </row>
    <row r="7094" spans="1:4" x14ac:dyDescent="0.25">
      <c r="A7094" t="str">
        <f>T("   852812")</f>
        <v xml:space="preserve">   852812</v>
      </c>
      <c r="B709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094">
        <v>1247805</v>
      </c>
      <c r="D7094">
        <v>3800</v>
      </c>
    </row>
    <row r="7095" spans="1:4" x14ac:dyDescent="0.25">
      <c r="A7095" t="str">
        <f>T("   852849")</f>
        <v xml:space="preserve">   852849</v>
      </c>
      <c r="B7095"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7095">
        <v>2105824</v>
      </c>
      <c r="D7095">
        <v>8765</v>
      </c>
    </row>
    <row r="7096" spans="1:4" x14ac:dyDescent="0.25">
      <c r="A7096" t="str">
        <f>T("   852859")</f>
        <v xml:space="preserve">   852859</v>
      </c>
      <c r="B7096"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7096">
        <v>485141</v>
      </c>
      <c r="D7096">
        <v>6225</v>
      </c>
    </row>
    <row r="7097" spans="1:4" x14ac:dyDescent="0.25">
      <c r="A7097" t="str">
        <f>T("   852990")</f>
        <v xml:space="preserve">   852990</v>
      </c>
      <c r="B7097" t="s">
        <v>496</v>
      </c>
      <c r="C7097">
        <v>10571451</v>
      </c>
      <c r="D7097">
        <v>9</v>
      </c>
    </row>
    <row r="7098" spans="1:4" x14ac:dyDescent="0.25">
      <c r="A7098" t="str">
        <f>T("   853080")</f>
        <v xml:space="preserve">   853080</v>
      </c>
      <c r="B7098"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7098">
        <v>485646</v>
      </c>
      <c r="D7098">
        <v>10</v>
      </c>
    </row>
    <row r="7099" spans="1:4" x14ac:dyDescent="0.25">
      <c r="A7099" t="str">
        <f>T("   853590")</f>
        <v xml:space="preserve">   853590</v>
      </c>
      <c r="B7099" t="s">
        <v>498</v>
      </c>
      <c r="C7099">
        <v>116649</v>
      </c>
      <c r="D7099">
        <v>87</v>
      </c>
    </row>
    <row r="7100" spans="1:4" x14ac:dyDescent="0.25">
      <c r="A7100" t="str">
        <f>T("   853630")</f>
        <v xml:space="preserve">   853630</v>
      </c>
      <c r="B7100"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7100">
        <v>1483558</v>
      </c>
      <c r="D7100">
        <v>3.44</v>
      </c>
    </row>
    <row r="7101" spans="1:4" x14ac:dyDescent="0.25">
      <c r="A7101" t="str">
        <f>T("   853650")</f>
        <v xml:space="preserve">   853650</v>
      </c>
      <c r="B7101" t="str">
        <f>T("   Interrupteurs, sectionneurs et commutateurs, pour une tension &lt;= 1.000 V (autres que relais et disjoncteurs)")</f>
        <v xml:space="preserve">   Interrupteurs, sectionneurs et commutateurs, pour une tension &lt;= 1.000 V (autres que relais et disjoncteurs)</v>
      </c>
      <c r="C7101">
        <v>84147</v>
      </c>
      <c r="D7101">
        <v>1</v>
      </c>
    </row>
    <row r="7102" spans="1:4" x14ac:dyDescent="0.25">
      <c r="A7102" t="str">
        <f>T("   853690")</f>
        <v xml:space="preserve">   853690</v>
      </c>
      <c r="B7102" t="s">
        <v>499</v>
      </c>
      <c r="C7102">
        <v>9086994</v>
      </c>
      <c r="D7102">
        <v>564.33000000000004</v>
      </c>
    </row>
    <row r="7103" spans="1:4" x14ac:dyDescent="0.25">
      <c r="A7103" t="str">
        <f>T("   853939")</f>
        <v xml:space="preserve">   853939</v>
      </c>
      <c r="B710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103">
        <v>821918</v>
      </c>
      <c r="D7103">
        <v>272</v>
      </c>
    </row>
    <row r="7104" spans="1:4" x14ac:dyDescent="0.25">
      <c r="A7104" t="str">
        <f>T("   853949")</f>
        <v xml:space="preserve">   853949</v>
      </c>
      <c r="B7104" t="str">
        <f>T("   Lampes et tubes à rayons ultraviolets ou infrarouges")</f>
        <v xml:space="preserve">   Lampes et tubes à rayons ultraviolets ou infrarouges</v>
      </c>
      <c r="C7104">
        <v>776066</v>
      </c>
      <c r="D7104">
        <v>571</v>
      </c>
    </row>
    <row r="7105" spans="1:4" x14ac:dyDescent="0.25">
      <c r="A7105" t="str">
        <f>T("   854129")</f>
        <v xml:space="preserve">   854129</v>
      </c>
      <c r="B7105" t="str">
        <f>T("   Transistors à pouvoir de dissipation &gt;= 1 W (autres que phototransistors)")</f>
        <v xml:space="preserve">   Transistors à pouvoir de dissipation &gt;= 1 W (autres que phototransistors)</v>
      </c>
      <c r="C7105">
        <v>3563176</v>
      </c>
      <c r="D7105">
        <v>1100</v>
      </c>
    </row>
    <row r="7106" spans="1:4" x14ac:dyDescent="0.25">
      <c r="A7106" t="str">
        <f>T("   854370")</f>
        <v xml:space="preserve">   854370</v>
      </c>
      <c r="B7106" t="str">
        <f>T("   MACHINES ET APPAREILS ÉLECTRIQUES AYANT UNE FONCTION PROPRE, N.D.A. DANS LE CHAPITRE 85")</f>
        <v xml:space="preserve">   MACHINES ET APPAREILS ÉLECTRIQUES AYANT UNE FONCTION PROPRE, N.D.A. DANS LE CHAPITRE 85</v>
      </c>
      <c r="C7106">
        <v>5494767</v>
      </c>
      <c r="D7106">
        <v>5.96</v>
      </c>
    </row>
    <row r="7107" spans="1:4" x14ac:dyDescent="0.25">
      <c r="A7107" t="str">
        <f>T("   854420")</f>
        <v xml:space="preserve">   854420</v>
      </c>
      <c r="B7107" t="str">
        <f>T("   Câbles coaxiaux et autres conducteurs électriques coaxiaux, isolés")</f>
        <v xml:space="preserve">   Câbles coaxiaux et autres conducteurs électriques coaxiaux, isolés</v>
      </c>
      <c r="C7107">
        <v>867842</v>
      </c>
      <c r="D7107">
        <v>17</v>
      </c>
    </row>
    <row r="7108" spans="1:4" x14ac:dyDescent="0.25">
      <c r="A7108" t="str">
        <f>T("   854449")</f>
        <v xml:space="preserve">   854449</v>
      </c>
      <c r="B7108" t="str">
        <f>T("   CONDUCTEURS ÉLECTRIQUES, POUR TENSION &lt;= 1.000 V, ISOLÉS, SANS PIÈCES DE CONNEXION, N.D.A.")</f>
        <v xml:space="preserve">   CONDUCTEURS ÉLECTRIQUES, POUR TENSION &lt;= 1.000 V, ISOLÉS, SANS PIÈCES DE CONNEXION, N.D.A.</v>
      </c>
      <c r="C7108">
        <v>6922765</v>
      </c>
      <c r="D7108">
        <v>1010</v>
      </c>
    </row>
    <row r="7109" spans="1:4" x14ac:dyDescent="0.25">
      <c r="A7109" t="str">
        <f>T("   854460")</f>
        <v xml:space="preserve">   854460</v>
      </c>
      <c r="B7109" t="str">
        <f>T("   Conducteurs électriques, pour tension &gt; 1.000 V, n.d.a.")</f>
        <v xml:space="preserve">   Conducteurs électriques, pour tension &gt; 1.000 V, n.d.a.</v>
      </c>
      <c r="C7109">
        <v>501675583</v>
      </c>
      <c r="D7109">
        <v>155426</v>
      </c>
    </row>
    <row r="7110" spans="1:4" x14ac:dyDescent="0.25">
      <c r="A7110" t="str">
        <f>T("   860900")</f>
        <v xml:space="preserve">   860900</v>
      </c>
      <c r="B7110"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7110">
        <v>1049536</v>
      </c>
      <c r="D7110">
        <v>1500</v>
      </c>
    </row>
    <row r="7111" spans="1:4" x14ac:dyDescent="0.25">
      <c r="A7111" t="str">
        <f>T("   870110")</f>
        <v xml:space="preserve">   870110</v>
      </c>
      <c r="B7111"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7111">
        <v>9271660</v>
      </c>
      <c r="D7111">
        <v>45000</v>
      </c>
    </row>
    <row r="7112" spans="1:4" x14ac:dyDescent="0.25">
      <c r="A7112" t="str">
        <f>T("   870120")</f>
        <v xml:space="preserve">   870120</v>
      </c>
      <c r="B7112" t="str">
        <f>T("   Tracteurs routiers pour semi-remorques")</f>
        <v xml:space="preserve">   Tracteurs routiers pour semi-remorques</v>
      </c>
      <c r="C7112">
        <v>77775970</v>
      </c>
      <c r="D7112">
        <v>263601</v>
      </c>
    </row>
    <row r="7113" spans="1:4" x14ac:dyDescent="0.25">
      <c r="A7113" t="str">
        <f>T("   870190")</f>
        <v xml:space="preserve">   870190</v>
      </c>
      <c r="B7113"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7113">
        <v>5407906</v>
      </c>
      <c r="D7113">
        <v>9510</v>
      </c>
    </row>
    <row r="7114" spans="1:4" x14ac:dyDescent="0.25">
      <c r="A7114" t="str">
        <f>T("   870210")</f>
        <v xml:space="preserve">   870210</v>
      </c>
      <c r="B7114" t="s">
        <v>503</v>
      </c>
      <c r="C7114">
        <v>10000400</v>
      </c>
      <c r="D7114">
        <v>36039</v>
      </c>
    </row>
    <row r="7115" spans="1:4" x14ac:dyDescent="0.25">
      <c r="A7115" t="str">
        <f>T("   870290")</f>
        <v xml:space="preserve">   870290</v>
      </c>
      <c r="B7115" t="s">
        <v>504</v>
      </c>
      <c r="C7115">
        <v>20403798</v>
      </c>
      <c r="D7115">
        <v>9545</v>
      </c>
    </row>
    <row r="7116" spans="1:4" x14ac:dyDescent="0.25">
      <c r="A7116" t="str">
        <f>T("   870321")</f>
        <v xml:space="preserve">   870321</v>
      </c>
      <c r="B7116" t="s">
        <v>505</v>
      </c>
      <c r="C7116">
        <v>5592862</v>
      </c>
      <c r="D7116">
        <v>2100</v>
      </c>
    </row>
    <row r="7117" spans="1:4" x14ac:dyDescent="0.25">
      <c r="A7117" t="str">
        <f>T("   870322")</f>
        <v xml:space="preserve">   870322</v>
      </c>
      <c r="B7117" t="s">
        <v>506</v>
      </c>
      <c r="C7117">
        <v>53603928</v>
      </c>
      <c r="D7117">
        <v>53237</v>
      </c>
    </row>
    <row r="7118" spans="1:4" x14ac:dyDescent="0.25">
      <c r="A7118" t="str">
        <f>T("   870323")</f>
        <v xml:space="preserve">   870323</v>
      </c>
      <c r="B7118" t="s">
        <v>507</v>
      </c>
      <c r="C7118">
        <v>91925347</v>
      </c>
      <c r="D7118">
        <v>102473</v>
      </c>
    </row>
    <row r="7119" spans="1:4" x14ac:dyDescent="0.25">
      <c r="A7119" t="str">
        <f>T("   870324")</f>
        <v xml:space="preserve">   870324</v>
      </c>
      <c r="B7119" t="s">
        <v>508</v>
      </c>
      <c r="C7119">
        <v>1200000</v>
      </c>
      <c r="D7119">
        <v>2020</v>
      </c>
    </row>
    <row r="7120" spans="1:4" x14ac:dyDescent="0.25">
      <c r="A7120" t="str">
        <f>T("   870331")</f>
        <v xml:space="preserve">   870331</v>
      </c>
      <c r="B7120" t="s">
        <v>509</v>
      </c>
      <c r="C7120">
        <v>1535167</v>
      </c>
      <c r="D7120">
        <v>1500</v>
      </c>
    </row>
    <row r="7121" spans="1:4" x14ac:dyDescent="0.25">
      <c r="A7121" t="str">
        <f>T("   870332")</f>
        <v xml:space="preserve">   870332</v>
      </c>
      <c r="B7121" t="s">
        <v>510</v>
      </c>
      <c r="C7121">
        <v>7660401</v>
      </c>
      <c r="D7121">
        <v>8555</v>
      </c>
    </row>
    <row r="7122" spans="1:4" x14ac:dyDescent="0.25">
      <c r="A7122" t="str">
        <f>T("   870333")</f>
        <v xml:space="preserve">   870333</v>
      </c>
      <c r="B7122" t="s">
        <v>511</v>
      </c>
      <c r="C7122">
        <v>11289075</v>
      </c>
      <c r="D7122">
        <v>4220</v>
      </c>
    </row>
    <row r="7123" spans="1:4" x14ac:dyDescent="0.25">
      <c r="A7123" t="str">
        <f>T("   870421")</f>
        <v xml:space="preserve">   870421</v>
      </c>
      <c r="B7123" t="s">
        <v>512</v>
      </c>
      <c r="C7123">
        <v>37623273</v>
      </c>
      <c r="D7123">
        <v>64818</v>
      </c>
    </row>
    <row r="7124" spans="1:4" x14ac:dyDescent="0.25">
      <c r="A7124" t="str">
        <f>T("   870422")</f>
        <v xml:space="preserve">   870422</v>
      </c>
      <c r="B7124" t="s">
        <v>513</v>
      </c>
      <c r="C7124">
        <v>13402843</v>
      </c>
      <c r="D7124">
        <v>43380</v>
      </c>
    </row>
    <row r="7125" spans="1:4" x14ac:dyDescent="0.25">
      <c r="A7125" t="str">
        <f>T("   870423")</f>
        <v xml:space="preserve">   870423</v>
      </c>
      <c r="B7125" t="s">
        <v>514</v>
      </c>
      <c r="C7125">
        <v>5623824</v>
      </c>
      <c r="D7125">
        <v>21168</v>
      </c>
    </row>
    <row r="7126" spans="1:4" x14ac:dyDescent="0.25">
      <c r="A7126" t="str">
        <f>T("   870431")</f>
        <v xml:space="preserve">   870431</v>
      </c>
      <c r="B7126" t="s">
        <v>515</v>
      </c>
      <c r="C7126">
        <v>19606038</v>
      </c>
      <c r="D7126">
        <v>88075</v>
      </c>
    </row>
    <row r="7127" spans="1:4" x14ac:dyDescent="0.25">
      <c r="A7127" t="str">
        <f>T("   870510")</f>
        <v xml:space="preserve">   870510</v>
      </c>
      <c r="B7127" t="str">
        <f>T("   Camions-grues (sauf dépanneuses)")</f>
        <v xml:space="preserve">   Camions-grues (sauf dépanneuses)</v>
      </c>
      <c r="C7127">
        <v>31485600</v>
      </c>
      <c r="D7127">
        <v>45350</v>
      </c>
    </row>
    <row r="7128" spans="1:4" x14ac:dyDescent="0.25">
      <c r="A7128" t="str">
        <f>T("   870590")</f>
        <v xml:space="preserve">   870590</v>
      </c>
      <c r="B7128" t="s">
        <v>517</v>
      </c>
      <c r="C7128">
        <v>9888740</v>
      </c>
      <c r="D7128">
        <v>21525</v>
      </c>
    </row>
    <row r="7129" spans="1:4" x14ac:dyDescent="0.25">
      <c r="A7129" t="str">
        <f>T("   870829")</f>
        <v xml:space="preserve">   870829</v>
      </c>
      <c r="B7129" t="s">
        <v>519</v>
      </c>
      <c r="C7129">
        <v>9839</v>
      </c>
      <c r="D7129">
        <v>5</v>
      </c>
    </row>
    <row r="7130" spans="1:4" x14ac:dyDescent="0.25">
      <c r="A7130" t="str">
        <f>T("   870830")</f>
        <v xml:space="preserve">   870830</v>
      </c>
      <c r="B7130"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7130">
        <v>11151150</v>
      </c>
      <c r="D7130">
        <v>10995</v>
      </c>
    </row>
    <row r="7131" spans="1:4" x14ac:dyDescent="0.25">
      <c r="A7131" t="str">
        <f>T("   870899")</f>
        <v xml:space="preserve">   870899</v>
      </c>
      <c r="B713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131">
        <v>1863619</v>
      </c>
      <c r="D7131">
        <v>18689</v>
      </c>
    </row>
    <row r="7132" spans="1:4" x14ac:dyDescent="0.25">
      <c r="A7132" t="str">
        <f>T("   871110")</f>
        <v xml:space="preserve">   871110</v>
      </c>
      <c r="B7132" t="str">
        <f>T("   Cyclomoteurs, à moteur à piston alternatif, cylindrée &lt;= 50 cm³, y.c. cycles à moteur auxiliaire")</f>
        <v xml:space="preserve">   Cyclomoteurs, à moteur à piston alternatif, cylindrée &lt;= 50 cm³, y.c. cycles à moteur auxiliaire</v>
      </c>
      <c r="C7132">
        <v>1359412</v>
      </c>
      <c r="D7132">
        <v>1325</v>
      </c>
    </row>
    <row r="7133" spans="1:4" x14ac:dyDescent="0.25">
      <c r="A7133" t="str">
        <f>T("   871120")</f>
        <v xml:space="preserve">   871120</v>
      </c>
      <c r="B7133" t="str">
        <f>T("   Motocycles à moteur à piston alternatif, cylindrée &gt; 50 cm³ mais &lt;= 250 cm³")</f>
        <v xml:space="preserve">   Motocycles à moteur à piston alternatif, cylindrée &gt; 50 cm³ mais &lt;= 250 cm³</v>
      </c>
      <c r="C7133">
        <v>6003004</v>
      </c>
      <c r="D7133">
        <v>6825</v>
      </c>
    </row>
    <row r="7134" spans="1:4" x14ac:dyDescent="0.25">
      <c r="A7134" t="str">
        <f>T("   871140")</f>
        <v xml:space="preserve">   871140</v>
      </c>
      <c r="B7134" t="str">
        <f>T("   Motocycles à moteur à piston alternatif, cylindrée &gt; 500 cm³ mais &lt;= 800 cm³")</f>
        <v xml:space="preserve">   Motocycles à moteur à piston alternatif, cylindrée &gt; 500 cm³ mais &lt;= 800 cm³</v>
      </c>
      <c r="C7134">
        <v>629518</v>
      </c>
      <c r="D7134">
        <v>630</v>
      </c>
    </row>
    <row r="7135" spans="1:4" x14ac:dyDescent="0.25">
      <c r="A7135" t="str">
        <f>T("   871190")</f>
        <v xml:space="preserve">   871190</v>
      </c>
      <c r="B7135" t="str">
        <f>T("   Side-cars")</f>
        <v xml:space="preserve">   Side-cars</v>
      </c>
      <c r="C7135">
        <v>6485737</v>
      </c>
      <c r="D7135">
        <v>5909</v>
      </c>
    </row>
    <row r="7136" spans="1:4" x14ac:dyDescent="0.25">
      <c r="A7136" t="str">
        <f>T("   871200")</f>
        <v xml:space="preserve">   871200</v>
      </c>
      <c r="B7136" t="str">
        <f>T("   BICYCLETTES ET AUTRES CYCLES, -Y.C. LES TRIPORTEURS-, SANS MOTEUR")</f>
        <v xml:space="preserve">   BICYCLETTES ET AUTRES CYCLES, -Y.C. LES TRIPORTEURS-, SANS MOTEUR</v>
      </c>
      <c r="C7136">
        <v>1588145</v>
      </c>
      <c r="D7136">
        <v>4336</v>
      </c>
    </row>
    <row r="7137" spans="1:4" x14ac:dyDescent="0.25">
      <c r="A7137" t="str">
        <f>T("   871310")</f>
        <v xml:space="preserve">   871310</v>
      </c>
      <c r="B7137" t="str">
        <f>T("   Fauteuils roulants et autres véhicules pour invalides (sans mécanisme de propulsion)")</f>
        <v xml:space="preserve">   Fauteuils roulants et autres véhicules pour invalides (sans mécanisme de propulsion)</v>
      </c>
      <c r="C7137">
        <v>883480</v>
      </c>
      <c r="D7137">
        <v>350</v>
      </c>
    </row>
    <row r="7138" spans="1:4" x14ac:dyDescent="0.25">
      <c r="A7138" t="str">
        <f>T("   871420")</f>
        <v xml:space="preserve">   871420</v>
      </c>
      <c r="B7138" t="str">
        <f>T("   Parties et accessoires de fauteuils roulants ou d'autres véhicules pour invalides, n.d.a.")</f>
        <v xml:space="preserve">   Parties et accessoires de fauteuils roulants ou d'autres véhicules pour invalides, n.d.a.</v>
      </c>
      <c r="C7138">
        <v>744515</v>
      </c>
      <c r="D7138">
        <v>40</v>
      </c>
    </row>
    <row r="7139" spans="1:4" x14ac:dyDescent="0.25">
      <c r="A7139" t="str">
        <f>T("   871640")</f>
        <v xml:space="preserve">   871640</v>
      </c>
      <c r="B713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139">
        <v>118258089</v>
      </c>
      <c r="D7139">
        <v>112720</v>
      </c>
    </row>
    <row r="7140" spans="1:4" x14ac:dyDescent="0.25">
      <c r="A7140" t="str">
        <f>T("   871680")</f>
        <v xml:space="preserve">   871680</v>
      </c>
      <c r="B7140" t="str">
        <f>T("   Véhicules dirigés à la main et autres véhicules non automobiles, autres que remorques et semi-remorques")</f>
        <v xml:space="preserve">   Véhicules dirigés à la main et autres véhicules non automobiles, autres que remorques et semi-remorques</v>
      </c>
      <c r="C7140">
        <v>39695</v>
      </c>
      <c r="D7140">
        <v>700</v>
      </c>
    </row>
    <row r="7141" spans="1:4" x14ac:dyDescent="0.25">
      <c r="A7141" t="str">
        <f>T("   900490")</f>
        <v xml:space="preserve">   900490</v>
      </c>
      <c r="B7141"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141">
        <v>52477</v>
      </c>
      <c r="D7141">
        <v>176</v>
      </c>
    </row>
    <row r="7142" spans="1:4" x14ac:dyDescent="0.25">
      <c r="A7142" t="str">
        <f>T("   900719")</f>
        <v xml:space="preserve">   900719</v>
      </c>
      <c r="B7142" t="str">
        <f>T("   Caméras cinématographiques, pour films d'une largeur &gt;= 16 mm (à l'excl. des films double-8 mm)")</f>
        <v xml:space="preserve">   Caméras cinématographiques, pour films d'une largeur &gt;= 16 mm (à l'excl. des films double-8 mm)</v>
      </c>
      <c r="C7142">
        <v>7447114</v>
      </c>
      <c r="D7142">
        <v>418</v>
      </c>
    </row>
    <row r="7143" spans="1:4" x14ac:dyDescent="0.25">
      <c r="A7143" t="str">
        <f>T("   900820")</f>
        <v xml:space="preserve">   900820</v>
      </c>
      <c r="B7143" t="str">
        <f>T("   Lecteurs de microfilms, de microfiches ou d'autres microformats, même permettant l'obtention de copies")</f>
        <v xml:space="preserve">   Lecteurs de microfilms, de microfiches ou d'autres microformats, même permettant l'obtention de copies</v>
      </c>
      <c r="C7143">
        <v>109545</v>
      </c>
      <c r="D7143">
        <v>780</v>
      </c>
    </row>
    <row r="7144" spans="1:4" x14ac:dyDescent="0.25">
      <c r="A7144" t="str">
        <f>T("   900840")</f>
        <v xml:space="preserve">   900840</v>
      </c>
      <c r="B7144" t="str">
        <f>T("   Appareils photographiques d'agrandissement ou de réduction")</f>
        <v xml:space="preserve">   Appareils photographiques d'agrandissement ou de réduction</v>
      </c>
      <c r="C7144">
        <v>1324304</v>
      </c>
      <c r="D7144">
        <v>155</v>
      </c>
    </row>
    <row r="7145" spans="1:4" x14ac:dyDescent="0.25">
      <c r="A7145" t="str">
        <f>T("   900911")</f>
        <v xml:space="preserve">   900911</v>
      </c>
      <c r="B7145"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7145">
        <v>100000</v>
      </c>
      <c r="D7145">
        <v>192</v>
      </c>
    </row>
    <row r="7146" spans="1:4" x14ac:dyDescent="0.25">
      <c r="A7146" t="str">
        <f>T("   901042")</f>
        <v xml:space="preserve">   901042</v>
      </c>
      <c r="B7146" t="str">
        <f>T("   Photorépéteurs")</f>
        <v xml:space="preserve">   Photorépéteurs</v>
      </c>
      <c r="C7146">
        <v>3083012</v>
      </c>
      <c r="D7146">
        <v>12835</v>
      </c>
    </row>
    <row r="7147" spans="1:4" x14ac:dyDescent="0.25">
      <c r="A7147" t="str">
        <f>T("   901180")</f>
        <v xml:space="preserve">   901180</v>
      </c>
      <c r="B7147" t="s">
        <v>525</v>
      </c>
      <c r="C7147">
        <v>213626</v>
      </c>
      <c r="D7147">
        <v>135</v>
      </c>
    </row>
    <row r="7148" spans="1:4" x14ac:dyDescent="0.25">
      <c r="A7148" t="str">
        <f>T("   901520")</f>
        <v xml:space="preserve">   901520</v>
      </c>
      <c r="B7148" t="str">
        <f>T("   Théodolites et tachéomètres")</f>
        <v xml:space="preserve">   Théodolites et tachéomètres</v>
      </c>
      <c r="C7148">
        <v>272714</v>
      </c>
      <c r="D7148">
        <v>12</v>
      </c>
    </row>
    <row r="7149" spans="1:4" x14ac:dyDescent="0.25">
      <c r="A7149" t="str">
        <f>T("   901580")</f>
        <v xml:space="preserve">   901580</v>
      </c>
      <c r="B7149" t="s">
        <v>526</v>
      </c>
      <c r="C7149">
        <v>71004</v>
      </c>
      <c r="D7149">
        <v>1</v>
      </c>
    </row>
    <row r="7150" spans="1:4" x14ac:dyDescent="0.25">
      <c r="A7150" t="str">
        <f>T("   901780")</f>
        <v xml:space="preserve">   901780</v>
      </c>
      <c r="B7150" t="str">
        <f>T("   Instruments de mesure de longueurs, pour emploi à la main, n.d.a.")</f>
        <v xml:space="preserve">   Instruments de mesure de longueurs, pour emploi à la main, n.d.a.</v>
      </c>
      <c r="C7150">
        <v>114670</v>
      </c>
      <c r="D7150">
        <v>19</v>
      </c>
    </row>
    <row r="7151" spans="1:4" x14ac:dyDescent="0.25">
      <c r="A7151" t="str">
        <f>T("   901811")</f>
        <v xml:space="preserve">   901811</v>
      </c>
      <c r="B7151" t="str">
        <f>T("   ÉLECTROCARDIOGRAPHES")</f>
        <v xml:space="preserve">   ÉLECTROCARDIOGRAPHES</v>
      </c>
      <c r="C7151">
        <v>875707</v>
      </c>
      <c r="D7151">
        <v>245</v>
      </c>
    </row>
    <row r="7152" spans="1:4" x14ac:dyDescent="0.25">
      <c r="A7152" t="str">
        <f>T("   901839")</f>
        <v xml:space="preserve">   901839</v>
      </c>
      <c r="B7152"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7152">
        <v>2509703</v>
      </c>
      <c r="D7152">
        <v>243</v>
      </c>
    </row>
    <row r="7153" spans="1:4" x14ac:dyDescent="0.25">
      <c r="A7153" t="str">
        <f>T("   901890")</f>
        <v xml:space="preserve">   901890</v>
      </c>
      <c r="B7153" t="str">
        <f>T("   Instruments et appareils pour la médecine, la chirurgie ou l'art vétérinaire, n.d.a.")</f>
        <v xml:space="preserve">   Instruments et appareils pour la médecine, la chirurgie ou l'art vétérinaire, n.d.a.</v>
      </c>
      <c r="C7153">
        <v>49081710</v>
      </c>
      <c r="D7153">
        <v>24871.5</v>
      </c>
    </row>
    <row r="7154" spans="1:4" x14ac:dyDescent="0.25">
      <c r="A7154" t="str">
        <f>T("   902110")</f>
        <v xml:space="preserve">   902110</v>
      </c>
      <c r="B7154" t="str">
        <f>T("   Appareils d'orthopédie ou pour fractures")</f>
        <v xml:space="preserve">   Appareils d'orthopédie ou pour fractures</v>
      </c>
      <c r="C7154">
        <v>3197848</v>
      </c>
      <c r="D7154">
        <v>188</v>
      </c>
    </row>
    <row r="7155" spans="1:4" x14ac:dyDescent="0.25">
      <c r="A7155" t="str">
        <f>T("   902190")</f>
        <v xml:space="preserve">   902190</v>
      </c>
      <c r="B7155" t="s">
        <v>528</v>
      </c>
      <c r="C7155">
        <v>98394</v>
      </c>
      <c r="D7155">
        <v>280</v>
      </c>
    </row>
    <row r="7156" spans="1:4" x14ac:dyDescent="0.25">
      <c r="A7156" t="str">
        <f>T("   902214")</f>
        <v xml:space="preserve">   902214</v>
      </c>
      <c r="B7156"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7156">
        <v>2525407</v>
      </c>
      <c r="D7156">
        <v>5504</v>
      </c>
    </row>
    <row r="7157" spans="1:4" x14ac:dyDescent="0.25">
      <c r="A7157" t="str">
        <f>T("   902620")</f>
        <v xml:space="preserve">   902620</v>
      </c>
      <c r="B7157"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7157">
        <v>958777</v>
      </c>
      <c r="D7157">
        <v>64</v>
      </c>
    </row>
    <row r="7158" spans="1:4" x14ac:dyDescent="0.25">
      <c r="A7158" t="str">
        <f>T("   902780")</f>
        <v xml:space="preserve">   902780</v>
      </c>
      <c r="B7158"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7158">
        <v>1283058</v>
      </c>
      <c r="D7158">
        <v>585</v>
      </c>
    </row>
    <row r="7159" spans="1:4" x14ac:dyDescent="0.25">
      <c r="A7159" t="str">
        <f>T("   902820")</f>
        <v xml:space="preserve">   902820</v>
      </c>
      <c r="B7159" t="str">
        <f>T("   Compteurs de liquides, y.c. les compteurs pour leur étalonnage")</f>
        <v xml:space="preserve">   Compteurs de liquides, y.c. les compteurs pour leur étalonnage</v>
      </c>
      <c r="C7159">
        <v>10856138</v>
      </c>
      <c r="D7159">
        <v>9965</v>
      </c>
    </row>
    <row r="7160" spans="1:4" x14ac:dyDescent="0.25">
      <c r="A7160" t="str">
        <f>T("   902890")</f>
        <v xml:space="preserve">   902890</v>
      </c>
      <c r="B7160" t="str">
        <f>T("   Parties et accessoires de compteurs de gaz, de liquides ou d'électricité, n.d.a.")</f>
        <v xml:space="preserve">   Parties et accessoires de compteurs de gaz, de liquides ou d'électricité, n.d.a.</v>
      </c>
      <c r="C7160">
        <v>314861</v>
      </c>
      <c r="D7160">
        <v>27</v>
      </c>
    </row>
    <row r="7161" spans="1:4" x14ac:dyDescent="0.25">
      <c r="A7161" t="str">
        <f>T("   903289")</f>
        <v xml:space="preserve">   903289</v>
      </c>
      <c r="B7161" t="s">
        <v>534</v>
      </c>
      <c r="C7161">
        <v>590364</v>
      </c>
      <c r="D7161">
        <v>8</v>
      </c>
    </row>
    <row r="7162" spans="1:4" x14ac:dyDescent="0.25">
      <c r="A7162" t="str">
        <f>T("   920790")</f>
        <v xml:space="preserve">   920790</v>
      </c>
      <c r="B7162" t="str">
        <f>T("   Accordéons électriques et autres instruments de musique électriques")</f>
        <v xml:space="preserve">   Accordéons électriques et autres instruments de musique électriques</v>
      </c>
      <c r="C7162">
        <v>3299638</v>
      </c>
      <c r="D7162">
        <v>695</v>
      </c>
    </row>
    <row r="7163" spans="1:4" x14ac:dyDescent="0.25">
      <c r="A7163" t="str">
        <f>T("   940130")</f>
        <v xml:space="preserve">   940130</v>
      </c>
      <c r="B7163"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7163">
        <v>52228610</v>
      </c>
      <c r="D7163">
        <v>25199</v>
      </c>
    </row>
    <row r="7164" spans="1:4" x14ac:dyDescent="0.25">
      <c r="A7164" t="str">
        <f>T("   940159")</f>
        <v xml:space="preserve">   940159</v>
      </c>
      <c r="B7164" t="str">
        <f>T("   SIÈGES EN OSIER OU EN MATIÈRES SIMIL. (SAUF EN BAMBOU OU EN ROTIN)")</f>
        <v xml:space="preserve">   SIÈGES EN OSIER OU EN MATIÈRES SIMIL. (SAUF EN BAMBOU OU EN ROTIN)</v>
      </c>
      <c r="C7164">
        <v>4321995</v>
      </c>
      <c r="D7164">
        <v>3800</v>
      </c>
    </row>
    <row r="7165" spans="1:4" x14ac:dyDescent="0.25">
      <c r="A7165" t="str">
        <f>T("   940161")</f>
        <v xml:space="preserve">   940161</v>
      </c>
      <c r="B7165" t="str">
        <f>T("   Sièges, avec bâti en bois, rembourrés (non transformables en lits)")</f>
        <v xml:space="preserve">   Sièges, avec bâti en bois, rembourrés (non transformables en lits)</v>
      </c>
      <c r="C7165">
        <v>7410341</v>
      </c>
      <c r="D7165">
        <v>3174</v>
      </c>
    </row>
    <row r="7166" spans="1:4" x14ac:dyDescent="0.25">
      <c r="A7166" t="str">
        <f>T("   940169")</f>
        <v xml:space="preserve">   940169</v>
      </c>
      <c r="B7166" t="str">
        <f>T("   Sièges, avec bâti en bois, non rembourrés")</f>
        <v xml:space="preserve">   Sièges, avec bâti en bois, non rembourrés</v>
      </c>
      <c r="C7166">
        <v>20170672</v>
      </c>
      <c r="D7166">
        <v>15924</v>
      </c>
    </row>
    <row r="7167" spans="1:4" x14ac:dyDescent="0.25">
      <c r="A7167" t="str">
        <f>T("   940171")</f>
        <v xml:space="preserve">   940171</v>
      </c>
      <c r="B7167"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7167">
        <v>14595530</v>
      </c>
      <c r="D7167">
        <v>4236</v>
      </c>
    </row>
    <row r="7168" spans="1:4" x14ac:dyDescent="0.25">
      <c r="A7168" t="str">
        <f>T("   940179")</f>
        <v xml:space="preserve">   940179</v>
      </c>
      <c r="B7168"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7168">
        <v>15851470</v>
      </c>
      <c r="D7168">
        <v>13637</v>
      </c>
    </row>
    <row r="7169" spans="1:4" x14ac:dyDescent="0.25">
      <c r="A7169" t="str">
        <f>T("   940180")</f>
        <v xml:space="preserve">   940180</v>
      </c>
      <c r="B7169" t="str">
        <f>T("   Sièges, n.d.a.")</f>
        <v xml:space="preserve">   Sièges, n.d.a.</v>
      </c>
      <c r="C7169">
        <v>5182032</v>
      </c>
      <c r="D7169">
        <v>308</v>
      </c>
    </row>
    <row r="7170" spans="1:4" x14ac:dyDescent="0.25">
      <c r="A7170" t="str">
        <f>T("   940210")</f>
        <v xml:space="preserve">   940210</v>
      </c>
      <c r="B7170"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7170">
        <v>7946972</v>
      </c>
      <c r="D7170">
        <v>3136</v>
      </c>
    </row>
    <row r="7171" spans="1:4" x14ac:dyDescent="0.25">
      <c r="A7171" t="str">
        <f>T("   940290")</f>
        <v xml:space="preserve">   940290</v>
      </c>
      <c r="B7171"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7171">
        <v>200251</v>
      </c>
      <c r="D7171">
        <v>440</v>
      </c>
    </row>
    <row r="7172" spans="1:4" x14ac:dyDescent="0.25">
      <c r="A7172" t="str">
        <f>T("   940310")</f>
        <v xml:space="preserve">   940310</v>
      </c>
      <c r="B7172" t="str">
        <f>T("   Meubles de bureau en métal (sauf sièges)")</f>
        <v xml:space="preserve">   Meubles de bureau en métal (sauf sièges)</v>
      </c>
      <c r="C7172">
        <v>19432921</v>
      </c>
      <c r="D7172">
        <v>7435</v>
      </c>
    </row>
    <row r="7173" spans="1:4" x14ac:dyDescent="0.25">
      <c r="A7173" t="str">
        <f>T("   940320")</f>
        <v xml:space="preserve">   940320</v>
      </c>
      <c r="B7173"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7173">
        <v>2116127</v>
      </c>
      <c r="D7173">
        <v>4500</v>
      </c>
    </row>
    <row r="7174" spans="1:4" x14ac:dyDescent="0.25">
      <c r="A7174" t="str">
        <f>T("   940330")</f>
        <v xml:space="preserve">   940330</v>
      </c>
      <c r="B7174" t="str">
        <f>T("   Meubles de bureau en bois (sauf sièges)")</f>
        <v xml:space="preserve">   Meubles de bureau en bois (sauf sièges)</v>
      </c>
      <c r="C7174">
        <v>41494062</v>
      </c>
      <c r="D7174">
        <v>11561</v>
      </c>
    </row>
    <row r="7175" spans="1:4" x14ac:dyDescent="0.25">
      <c r="A7175" t="str">
        <f>T("   940350")</f>
        <v xml:space="preserve">   940350</v>
      </c>
      <c r="B7175" t="str">
        <f>T("   Meubles pour chambres à coucher, en bois (sauf sièges)")</f>
        <v xml:space="preserve">   Meubles pour chambres à coucher, en bois (sauf sièges)</v>
      </c>
      <c r="C7175">
        <v>5914464</v>
      </c>
      <c r="D7175">
        <v>5922</v>
      </c>
    </row>
    <row r="7176" spans="1:4" x14ac:dyDescent="0.25">
      <c r="A7176" t="str">
        <f>T("   940360")</f>
        <v xml:space="preserve">   940360</v>
      </c>
      <c r="B7176" t="str">
        <f>T("   Meubles en bois (autres que pour bureaux, cuisines ou chambres à coucher et autres que sièges)")</f>
        <v xml:space="preserve">   Meubles en bois (autres que pour bureaux, cuisines ou chambres à coucher et autres que sièges)</v>
      </c>
      <c r="C7176">
        <v>46490700</v>
      </c>
      <c r="D7176">
        <v>124792</v>
      </c>
    </row>
    <row r="7177" spans="1:4" x14ac:dyDescent="0.25">
      <c r="A7177" t="str">
        <f>T("   940370")</f>
        <v xml:space="preserve">   940370</v>
      </c>
      <c r="B717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177">
        <v>14840455</v>
      </c>
      <c r="D7177">
        <v>18562</v>
      </c>
    </row>
    <row r="7178" spans="1:4" x14ac:dyDescent="0.25">
      <c r="A7178" t="str">
        <f>T("   940380")</f>
        <v xml:space="preserve">   940380</v>
      </c>
      <c r="B7178" t="str">
        <f>T("   Meubles en rotin, osier, bambou ou autres matières (sauf métal, bois et matières plastiques)")</f>
        <v xml:space="preserve">   Meubles en rotin, osier, bambou ou autres matières (sauf métal, bois et matières plastiques)</v>
      </c>
      <c r="C7178">
        <v>3550340</v>
      </c>
      <c r="D7178">
        <v>6795</v>
      </c>
    </row>
    <row r="7179" spans="1:4" x14ac:dyDescent="0.25">
      <c r="A7179" t="str">
        <f>T("   940389")</f>
        <v xml:space="preserve">   940389</v>
      </c>
      <c r="B717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7179">
        <v>15138511</v>
      </c>
      <c r="D7179">
        <v>26003</v>
      </c>
    </row>
    <row r="7180" spans="1:4" x14ac:dyDescent="0.25">
      <c r="A7180" t="str">
        <f>T("   940390")</f>
        <v xml:space="preserve">   940390</v>
      </c>
      <c r="B7180"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7180">
        <v>700000</v>
      </c>
      <c r="D7180">
        <v>5150</v>
      </c>
    </row>
    <row r="7181" spans="1:4" x14ac:dyDescent="0.25">
      <c r="A7181" t="str">
        <f>T("   940410")</f>
        <v xml:space="preserve">   940410</v>
      </c>
      <c r="B7181" t="str">
        <f>T("   Sommiers (sauf ressorts pour sièges)")</f>
        <v xml:space="preserve">   Sommiers (sauf ressorts pour sièges)</v>
      </c>
      <c r="C7181">
        <v>2049947</v>
      </c>
      <c r="D7181">
        <v>161</v>
      </c>
    </row>
    <row r="7182" spans="1:4" x14ac:dyDescent="0.25">
      <c r="A7182" t="str">
        <f>T("   940429")</f>
        <v xml:space="preserve">   940429</v>
      </c>
      <c r="B718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7182">
        <v>1102906</v>
      </c>
      <c r="D7182">
        <v>2795</v>
      </c>
    </row>
    <row r="7183" spans="1:4" x14ac:dyDescent="0.25">
      <c r="A7183" t="str">
        <f>T("   940490")</f>
        <v xml:space="preserve">   940490</v>
      </c>
      <c r="B7183" t="s">
        <v>537</v>
      </c>
      <c r="C7183">
        <v>1372343</v>
      </c>
      <c r="D7183">
        <v>1454</v>
      </c>
    </row>
    <row r="7184" spans="1:4" x14ac:dyDescent="0.25">
      <c r="A7184" t="str">
        <f>T("   940510")</f>
        <v xml:space="preserve">   940510</v>
      </c>
      <c r="B7184"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184">
        <v>1102013</v>
      </c>
      <c r="D7184">
        <v>294</v>
      </c>
    </row>
    <row r="7185" spans="1:4" x14ac:dyDescent="0.25">
      <c r="A7185" t="str">
        <f>T("   940600")</f>
        <v xml:space="preserve">   940600</v>
      </c>
      <c r="B7185" t="str">
        <f>T("   Constructions préfabriquées, même incomplètes ou non encore montées")</f>
        <v xml:space="preserve">   Constructions préfabriquées, même incomplètes ou non encore montées</v>
      </c>
      <c r="C7185">
        <v>13445376</v>
      </c>
      <c r="D7185">
        <v>13644</v>
      </c>
    </row>
    <row r="7186" spans="1:4" x14ac:dyDescent="0.25">
      <c r="A7186" t="str">
        <f>T("   950300")</f>
        <v xml:space="preserve">   950300</v>
      </c>
      <c r="B7186"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7186">
        <v>11545996</v>
      </c>
      <c r="D7186">
        <v>3440</v>
      </c>
    </row>
    <row r="7187" spans="1:4" x14ac:dyDescent="0.25">
      <c r="A7187" t="str">
        <f>T("   950390")</f>
        <v xml:space="preserve">   950390</v>
      </c>
      <c r="B7187" t="str">
        <f>T("   Jouets, n.d.a.")</f>
        <v xml:space="preserve">   Jouets, n.d.a.</v>
      </c>
      <c r="C7187">
        <v>8990444</v>
      </c>
      <c r="D7187">
        <v>1219</v>
      </c>
    </row>
    <row r="7188" spans="1:4" x14ac:dyDescent="0.25">
      <c r="A7188" t="str">
        <f>T("   950410")</f>
        <v xml:space="preserve">   950410</v>
      </c>
      <c r="B7188" t="str">
        <f>T("   Jeux vidéo des types utilisables avec un récepteur de télévision")</f>
        <v xml:space="preserve">   Jeux vidéo des types utilisables avec un récepteur de télévision</v>
      </c>
      <c r="C7188">
        <v>504029</v>
      </c>
      <c r="D7188">
        <v>292</v>
      </c>
    </row>
    <row r="7189" spans="1:4" x14ac:dyDescent="0.25">
      <c r="A7189" t="str">
        <f>T("   950490")</f>
        <v xml:space="preserve">   950490</v>
      </c>
      <c r="B7189" t="s">
        <v>539</v>
      </c>
      <c r="C7189">
        <v>906803</v>
      </c>
      <c r="D7189">
        <v>526</v>
      </c>
    </row>
    <row r="7190" spans="1:4" x14ac:dyDescent="0.25">
      <c r="A7190" t="str">
        <f>T("   950590")</f>
        <v xml:space="preserve">   950590</v>
      </c>
      <c r="B7190" t="str">
        <f>T("   Articles pour fêtes, carnaval ou autres divertissements, y.c. les articles de magie et articles-surprises, n.d.a.")</f>
        <v xml:space="preserve">   Articles pour fêtes, carnaval ou autres divertissements, y.c. les articles de magie et articles-surprises, n.d.a.</v>
      </c>
      <c r="C7190">
        <v>306990</v>
      </c>
      <c r="D7190">
        <v>15</v>
      </c>
    </row>
    <row r="7191" spans="1:4" x14ac:dyDescent="0.25">
      <c r="A7191" t="str">
        <f>T("   950699")</f>
        <v xml:space="preserve">   950699</v>
      </c>
      <c r="B7191" t="str">
        <f>T("   Articles et matériel pour le sport et les jeux de plein air, n.d.a.; piscines et pataugeoires")</f>
        <v xml:space="preserve">   Articles et matériel pour le sport et les jeux de plein air, n.d.a.; piscines et pataugeoires</v>
      </c>
      <c r="C7191">
        <v>572994</v>
      </c>
      <c r="D7191">
        <v>332</v>
      </c>
    </row>
    <row r="7192" spans="1:4" x14ac:dyDescent="0.25">
      <c r="A7192" t="str">
        <f>T("   950890")</f>
        <v xml:space="preserve">   950890</v>
      </c>
      <c r="B7192" t="s">
        <v>540</v>
      </c>
      <c r="C7192">
        <v>435275</v>
      </c>
      <c r="D7192">
        <v>216</v>
      </c>
    </row>
    <row r="7193" spans="1:4" x14ac:dyDescent="0.25">
      <c r="A7193" t="str">
        <f>T("   960310")</f>
        <v xml:space="preserve">   960310</v>
      </c>
      <c r="B7193" t="str">
        <f>T("   Balais et balayettes consistant en matières végétales en bottes liées")</f>
        <v xml:space="preserve">   Balais et balayettes consistant en matières végétales en bottes liées</v>
      </c>
      <c r="C7193">
        <v>2428572</v>
      </c>
      <c r="D7193">
        <v>1940</v>
      </c>
    </row>
    <row r="7194" spans="1:4" x14ac:dyDescent="0.25">
      <c r="A7194" t="str">
        <f>T("   960321")</f>
        <v xml:space="preserve">   960321</v>
      </c>
      <c r="B7194" t="str">
        <f>T("   Brosses à dent, y.c. brosses à prothèses dentaires")</f>
        <v xml:space="preserve">   Brosses à dent, y.c. brosses à prothèses dentaires</v>
      </c>
      <c r="C7194">
        <v>150417</v>
      </c>
      <c r="D7194">
        <v>2335</v>
      </c>
    </row>
    <row r="7195" spans="1:4" x14ac:dyDescent="0.25">
      <c r="A7195" t="str">
        <f>T("   960390")</f>
        <v xml:space="preserve">   960390</v>
      </c>
      <c r="B7195"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7195">
        <v>2778549</v>
      </c>
      <c r="D7195">
        <v>2985</v>
      </c>
    </row>
    <row r="7196" spans="1:4" x14ac:dyDescent="0.25">
      <c r="A7196" t="str">
        <f>T("   960810")</f>
        <v xml:space="preserve">   960810</v>
      </c>
      <c r="B7196" t="str">
        <f>T("   Stylos et crayons à bille")</f>
        <v xml:space="preserve">   Stylos et crayons à bille</v>
      </c>
      <c r="C7196">
        <v>68875</v>
      </c>
      <c r="D7196">
        <v>49</v>
      </c>
    </row>
    <row r="7197" spans="1:4" x14ac:dyDescent="0.25">
      <c r="A7197" t="str">
        <f>T("   970110")</f>
        <v xml:space="preserve">   970110</v>
      </c>
      <c r="B7197"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7197">
        <v>991412</v>
      </c>
      <c r="D7197">
        <v>267</v>
      </c>
    </row>
    <row r="7198" spans="1:4" x14ac:dyDescent="0.25">
      <c r="A7198" t="str">
        <f>T("   970190")</f>
        <v xml:space="preserve">   970190</v>
      </c>
      <c r="B7198" t="str">
        <f>T("   Collages et tableautins simil.")</f>
        <v xml:space="preserve">   Collages et tableautins simil.</v>
      </c>
      <c r="C7198">
        <v>65596</v>
      </c>
      <c r="D7198">
        <v>300</v>
      </c>
    </row>
    <row r="7199" spans="1:4" x14ac:dyDescent="0.25">
      <c r="A7199" t="str">
        <f>T("   970300")</f>
        <v xml:space="preserve">   970300</v>
      </c>
      <c r="B7199" t="str">
        <f>T("   Productions originales de l'art statuaire ou de la sculpture, en toutes matières")</f>
        <v xml:space="preserve">   Productions originales de l'art statuaire ou de la sculpture, en toutes matières</v>
      </c>
      <c r="C7199">
        <v>34766</v>
      </c>
      <c r="D7199">
        <v>27</v>
      </c>
    </row>
    <row r="7200" spans="1:4" x14ac:dyDescent="0.25">
      <c r="A7200" t="str">
        <f>T("JM")</f>
        <v>JM</v>
      </c>
      <c r="B7200" t="str">
        <f>T("Jamaïque")</f>
        <v>Jamaïque</v>
      </c>
    </row>
    <row r="7201" spans="1:4" x14ac:dyDescent="0.25">
      <c r="A7201" t="str">
        <f>T("   ZZ_Total_Produit_SH6")</f>
        <v xml:space="preserve">   ZZ_Total_Produit_SH6</v>
      </c>
      <c r="B7201" t="str">
        <f>T("   ZZ_Total_Produit_SH6")</f>
        <v xml:space="preserve">   ZZ_Total_Produit_SH6</v>
      </c>
      <c r="C7201">
        <v>2168111</v>
      </c>
      <c r="D7201">
        <v>685</v>
      </c>
    </row>
    <row r="7202" spans="1:4" x14ac:dyDescent="0.25">
      <c r="A7202" t="str">
        <f>T("   620299")</f>
        <v xml:space="preserve">   620299</v>
      </c>
      <c r="B7202" t="s">
        <v>287</v>
      </c>
      <c r="C7202">
        <v>708437</v>
      </c>
      <c r="D7202">
        <v>394</v>
      </c>
    </row>
    <row r="7203" spans="1:4" x14ac:dyDescent="0.25">
      <c r="A7203" t="str">
        <f>T("   621040")</f>
        <v xml:space="preserve">   621040</v>
      </c>
      <c r="B7203" t="s">
        <v>294</v>
      </c>
      <c r="C7203">
        <v>500000</v>
      </c>
      <c r="D7203">
        <v>213</v>
      </c>
    </row>
    <row r="7204" spans="1:4" x14ac:dyDescent="0.25">
      <c r="A7204" t="str">
        <f>T("   870899")</f>
        <v xml:space="preserve">   870899</v>
      </c>
      <c r="B720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204">
        <v>959674</v>
      </c>
      <c r="D7204">
        <v>78</v>
      </c>
    </row>
    <row r="7205" spans="1:4" x14ac:dyDescent="0.25">
      <c r="A7205" t="str">
        <f>T("JO")</f>
        <v>JO</v>
      </c>
      <c r="B7205" t="str">
        <f>T("Jordanie")</f>
        <v>Jordanie</v>
      </c>
    </row>
    <row r="7206" spans="1:4" x14ac:dyDescent="0.25">
      <c r="A7206" t="str">
        <f>T("   ZZ_Total_Produit_SH6")</f>
        <v xml:space="preserve">   ZZ_Total_Produit_SH6</v>
      </c>
      <c r="B7206" t="str">
        <f>T("   ZZ_Total_Produit_SH6")</f>
        <v xml:space="preserve">   ZZ_Total_Produit_SH6</v>
      </c>
      <c r="C7206">
        <v>54658837</v>
      </c>
      <c r="D7206">
        <v>124735</v>
      </c>
    </row>
    <row r="7207" spans="1:4" x14ac:dyDescent="0.25">
      <c r="A7207" t="str">
        <f>T("   020714")</f>
        <v xml:space="preserve">   020714</v>
      </c>
      <c r="B7207" t="str">
        <f>T("   Morceaux et abats comestibles de coqs et de poules [des espèces domestiques], congelés")</f>
        <v xml:space="preserve">   Morceaux et abats comestibles de coqs et de poules [des espèces domestiques], congelés</v>
      </c>
      <c r="C7207">
        <v>15550000</v>
      </c>
      <c r="D7207">
        <v>29680</v>
      </c>
    </row>
    <row r="7208" spans="1:4" x14ac:dyDescent="0.25">
      <c r="A7208" t="str">
        <f>T("   847330")</f>
        <v xml:space="preserve">   847330</v>
      </c>
      <c r="B7208" t="str">
        <f>T("   Parties et accessoires pour machines automatiques de traitement de l'information ou pour autres machines du n° 8471, n.d.a.")</f>
        <v xml:space="preserve">   Parties et accessoires pour machines automatiques de traitement de l'information ou pour autres machines du n° 8471, n.d.a.</v>
      </c>
      <c r="C7208">
        <v>16287809</v>
      </c>
      <c r="D7208">
        <v>15</v>
      </c>
    </row>
    <row r="7209" spans="1:4" x14ac:dyDescent="0.25">
      <c r="A7209" t="str">
        <f>T("   960990")</f>
        <v xml:space="preserve">   960990</v>
      </c>
      <c r="B7209" t="str">
        <f>T("   Crayons (sauf crayons à gaine), pastels, fusains, craies à écrire ou à dessiner et craies de tailleurs")</f>
        <v xml:space="preserve">   Crayons (sauf crayons à gaine), pastels, fusains, craies à écrire ou à dessiner et craies de tailleurs</v>
      </c>
      <c r="C7209">
        <v>22821028</v>
      </c>
      <c r="D7209">
        <v>95040</v>
      </c>
    </row>
    <row r="7210" spans="1:4" x14ac:dyDescent="0.25">
      <c r="A7210" t="str">
        <f>T("JP")</f>
        <v>JP</v>
      </c>
      <c r="B7210" t="str">
        <f>T("Japon")</f>
        <v>Japon</v>
      </c>
    </row>
    <row r="7211" spans="1:4" x14ac:dyDescent="0.25">
      <c r="A7211" t="str">
        <f>T("   ZZ_Total_Produit_SH6")</f>
        <v xml:space="preserve">   ZZ_Total_Produit_SH6</v>
      </c>
      <c r="B7211" t="str">
        <f>T("   ZZ_Total_Produit_SH6")</f>
        <v xml:space="preserve">   ZZ_Total_Produit_SH6</v>
      </c>
      <c r="C7211">
        <v>9746464444</v>
      </c>
      <c r="D7211">
        <v>166902043.40000001</v>
      </c>
    </row>
    <row r="7212" spans="1:4" x14ac:dyDescent="0.25">
      <c r="A7212" t="str">
        <f>T("   030379")</f>
        <v xml:space="preserve">   030379</v>
      </c>
      <c r="B7212" t="s">
        <v>16</v>
      </c>
      <c r="C7212">
        <v>5625513</v>
      </c>
      <c r="D7212">
        <v>25000</v>
      </c>
    </row>
    <row r="7213" spans="1:4" x14ac:dyDescent="0.25">
      <c r="A7213" t="str">
        <f>T("   090210")</f>
        <v xml:space="preserve">   090210</v>
      </c>
      <c r="B7213" t="str">
        <f>T("   Thé vert [thé non fermenté], présenté en emballages immédiats d'un contenu &lt;= 3 kg")</f>
        <v xml:space="preserve">   Thé vert [thé non fermenté], présenté en emballages immédiats d'un contenu &lt;= 3 kg</v>
      </c>
      <c r="C7213">
        <v>22090</v>
      </c>
      <c r="D7213">
        <v>3</v>
      </c>
    </row>
    <row r="7214" spans="1:4" x14ac:dyDescent="0.25">
      <c r="A7214" t="str">
        <f>T("   151550")</f>
        <v xml:space="preserve">   151550</v>
      </c>
      <c r="B7214" t="str">
        <f>T("   Huile de sésame et ses fractions, même raffinées, mais non chimiquement modifiées")</f>
        <v xml:space="preserve">   Huile de sésame et ses fractions, même raffinées, mais non chimiquement modifiées</v>
      </c>
      <c r="C7214">
        <v>7500</v>
      </c>
      <c r="D7214">
        <v>30</v>
      </c>
    </row>
    <row r="7215" spans="1:4" x14ac:dyDescent="0.25">
      <c r="A7215" t="str">
        <f>T("   170490")</f>
        <v xml:space="preserve">   170490</v>
      </c>
      <c r="B7215" t="str">
        <f>T("   Sucreries sans cacao, y.c. le chocolat blanc (à l'excl. des gommes à mâcher)")</f>
        <v xml:space="preserve">   Sucreries sans cacao, y.c. le chocolat blanc (à l'excl. des gommes à mâcher)</v>
      </c>
      <c r="C7215">
        <v>5461523</v>
      </c>
      <c r="D7215">
        <v>21180</v>
      </c>
    </row>
    <row r="7216" spans="1:4" x14ac:dyDescent="0.25">
      <c r="A7216" t="str">
        <f>T("   190230")</f>
        <v xml:space="preserve">   190230</v>
      </c>
      <c r="B7216" t="str">
        <f>T("   Pâtes alimentaires, cuites ou autrement préparées (à l'excl. des pâtes alimentaires farcies)")</f>
        <v xml:space="preserve">   Pâtes alimentaires, cuites ou autrement préparées (à l'excl. des pâtes alimentaires farcies)</v>
      </c>
      <c r="C7216">
        <v>156942</v>
      </c>
      <c r="D7216">
        <v>18</v>
      </c>
    </row>
    <row r="7217" spans="1:4" x14ac:dyDescent="0.25">
      <c r="A7217" t="str">
        <f>T("   200559")</f>
        <v xml:space="preserve">   200559</v>
      </c>
      <c r="B7217"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217">
        <v>100000</v>
      </c>
      <c r="D7217">
        <v>1030</v>
      </c>
    </row>
    <row r="7218" spans="1:4" x14ac:dyDescent="0.25">
      <c r="A7218" t="str">
        <f>T("   210390")</f>
        <v xml:space="preserve">   210390</v>
      </c>
      <c r="B721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218">
        <v>116291</v>
      </c>
      <c r="D7218">
        <v>13</v>
      </c>
    </row>
    <row r="7219" spans="1:4" x14ac:dyDescent="0.25">
      <c r="A7219" t="str">
        <f>T("   210410")</f>
        <v xml:space="preserve">   210410</v>
      </c>
      <c r="B7219" t="str">
        <f>T("   Préparations pour soupes, potages ou bouillons; soupes, potages ou bouillons préparés")</f>
        <v xml:space="preserve">   Préparations pour soupes, potages ou bouillons; soupes, potages ou bouillons préparés</v>
      </c>
      <c r="C7219">
        <v>36363</v>
      </c>
      <c r="D7219">
        <v>4</v>
      </c>
    </row>
    <row r="7220" spans="1:4" x14ac:dyDescent="0.25">
      <c r="A7220" t="str">
        <f>T("   220600")</f>
        <v xml:space="preserve">   220600</v>
      </c>
      <c r="B7220" t="s">
        <v>60</v>
      </c>
      <c r="C7220">
        <v>250000</v>
      </c>
      <c r="D7220">
        <v>1700</v>
      </c>
    </row>
    <row r="7221" spans="1:4" x14ac:dyDescent="0.25">
      <c r="A7221" t="str">
        <f>T("   220890")</f>
        <v xml:space="preserve">   220890</v>
      </c>
      <c r="B7221" t="s">
        <v>61</v>
      </c>
      <c r="C7221">
        <v>49113</v>
      </c>
      <c r="D7221">
        <v>6</v>
      </c>
    </row>
    <row r="7222" spans="1:4" x14ac:dyDescent="0.25">
      <c r="A7222" t="str">
        <f>T("   252310")</f>
        <v xml:space="preserve">   252310</v>
      </c>
      <c r="B7222" t="str">
        <f>T("   Ciments non pulvérisés dits 'clinkers'")</f>
        <v xml:space="preserve">   Ciments non pulvérisés dits 'clinkers'</v>
      </c>
      <c r="C7222">
        <v>4401880000</v>
      </c>
      <c r="D7222">
        <v>125768000</v>
      </c>
    </row>
    <row r="7223" spans="1:4" x14ac:dyDescent="0.25">
      <c r="A7223" t="str">
        <f>T("   261800")</f>
        <v xml:space="preserve">   261800</v>
      </c>
      <c r="B7223" t="str">
        <f>T("   Laitier granulé [sable-laitier] provenant de la fabrication de la fonte, du fer ou de l'acier")</f>
        <v xml:space="preserve">   Laitier granulé [sable-laitier] provenant de la fabrication de la fonte, du fer ou de l'acier</v>
      </c>
      <c r="C7223">
        <v>920368950</v>
      </c>
      <c r="D7223">
        <v>39500000</v>
      </c>
    </row>
    <row r="7224" spans="1:4" x14ac:dyDescent="0.25">
      <c r="A7224" t="str">
        <f>T("   382200")</f>
        <v xml:space="preserve">   382200</v>
      </c>
      <c r="B7224" t="s">
        <v>133</v>
      </c>
      <c r="C7224">
        <v>321331260</v>
      </c>
      <c r="D7224">
        <v>381.8</v>
      </c>
    </row>
    <row r="7225" spans="1:4" x14ac:dyDescent="0.25">
      <c r="A7225" t="str">
        <f>T("   401110")</f>
        <v xml:space="preserve">   401110</v>
      </c>
      <c r="B722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225">
        <v>60215817</v>
      </c>
      <c r="D7225">
        <v>17696</v>
      </c>
    </row>
    <row r="7226" spans="1:4" x14ac:dyDescent="0.25">
      <c r="A7226" t="str">
        <f>T("   401120")</f>
        <v xml:space="preserve">   401120</v>
      </c>
      <c r="B722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226">
        <v>26231185</v>
      </c>
      <c r="D7226">
        <v>7384</v>
      </c>
    </row>
    <row r="7227" spans="1:4" x14ac:dyDescent="0.25">
      <c r="A7227" t="str">
        <f>T("   401220")</f>
        <v xml:space="preserve">   401220</v>
      </c>
      <c r="B7227" t="str">
        <f>T("   Pneumatiques usagés, en caoutchouc")</f>
        <v xml:space="preserve">   Pneumatiques usagés, en caoutchouc</v>
      </c>
      <c r="C7227">
        <v>1242000</v>
      </c>
      <c r="D7227">
        <v>5840</v>
      </c>
    </row>
    <row r="7228" spans="1:4" x14ac:dyDescent="0.25">
      <c r="A7228" t="str">
        <f>T("   401693")</f>
        <v xml:space="preserve">   401693</v>
      </c>
      <c r="B7228" t="str">
        <f>T("   Joints en caoutchouc vulcanisé non durci (à l'excl. des articles en caoutchouc alvéolaire)")</f>
        <v xml:space="preserve">   Joints en caoutchouc vulcanisé non durci (à l'excl. des articles en caoutchouc alvéolaire)</v>
      </c>
      <c r="C7228">
        <v>75485</v>
      </c>
      <c r="D7228">
        <v>7</v>
      </c>
    </row>
    <row r="7229" spans="1:4" x14ac:dyDescent="0.25">
      <c r="A7229" t="str">
        <f>T("   420229")</f>
        <v xml:space="preserve">   420229</v>
      </c>
      <c r="B722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229">
        <v>21054348</v>
      </c>
      <c r="D7229">
        <v>37075</v>
      </c>
    </row>
    <row r="7230" spans="1:4" x14ac:dyDescent="0.25">
      <c r="A7230" t="str">
        <f>T("   490199")</f>
        <v xml:space="preserve">   490199</v>
      </c>
      <c r="B723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230">
        <v>170026</v>
      </c>
      <c r="D7230">
        <v>7.2</v>
      </c>
    </row>
    <row r="7231" spans="1:4" x14ac:dyDescent="0.25">
      <c r="A7231" t="str">
        <f>T("   491110")</f>
        <v xml:space="preserve">   491110</v>
      </c>
      <c r="B7231" t="str">
        <f>T("   Imprimés publicitaires, catalogues commerciaux et simil.")</f>
        <v xml:space="preserve">   Imprimés publicitaires, catalogues commerciaux et simil.</v>
      </c>
      <c r="C7231">
        <v>2604142</v>
      </c>
      <c r="D7231">
        <v>276</v>
      </c>
    </row>
    <row r="7232" spans="1:4" x14ac:dyDescent="0.25">
      <c r="A7232" t="str">
        <f>T("   520852")</f>
        <v xml:space="preserve">   520852</v>
      </c>
      <c r="B7232" t="str">
        <f>T("   Tissus de coton, imprimés, à armure toile, contenant &gt;= 85% en poids de coton, d'un poids &gt; 100 g/m² mais &lt;= 200 g/m²")</f>
        <v xml:space="preserve">   Tissus de coton, imprimés, à armure toile, contenant &gt;= 85% en poids de coton, d'un poids &gt; 100 g/m² mais &lt;= 200 g/m²</v>
      </c>
      <c r="C7232">
        <v>17000515</v>
      </c>
      <c r="D7232">
        <v>18150</v>
      </c>
    </row>
    <row r="7233" spans="1:4" x14ac:dyDescent="0.25">
      <c r="A7233" t="str">
        <f>T("   610990")</f>
        <v xml:space="preserve">   610990</v>
      </c>
      <c r="B7233" t="str">
        <f>T("   T-shirts et maillots de corps, en bonneterie, de matières textiles (sauf de coton)")</f>
        <v xml:space="preserve">   T-shirts et maillots de corps, en bonneterie, de matières textiles (sauf de coton)</v>
      </c>
      <c r="C7233">
        <v>52559</v>
      </c>
      <c r="D7233">
        <v>7</v>
      </c>
    </row>
    <row r="7234" spans="1:4" x14ac:dyDescent="0.25">
      <c r="A7234" t="str">
        <f>T("   620199")</f>
        <v xml:space="preserve">   620199</v>
      </c>
      <c r="B7234" t="s">
        <v>285</v>
      </c>
      <c r="C7234">
        <v>67243</v>
      </c>
      <c r="D7234">
        <v>51.2</v>
      </c>
    </row>
    <row r="7235" spans="1:4" x14ac:dyDescent="0.25">
      <c r="A7235" t="str">
        <f>T("   620349")</f>
        <v xml:space="preserve">   620349</v>
      </c>
      <c r="B7235" t="s">
        <v>289</v>
      </c>
      <c r="C7235">
        <v>500000</v>
      </c>
      <c r="D7235">
        <v>130</v>
      </c>
    </row>
    <row r="7236" spans="1:4" x14ac:dyDescent="0.25">
      <c r="A7236" t="str">
        <f>T("   620590")</f>
        <v xml:space="preserve">   620590</v>
      </c>
      <c r="B723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236">
        <v>700000</v>
      </c>
      <c r="D7236">
        <v>1200</v>
      </c>
    </row>
    <row r="7237" spans="1:4" x14ac:dyDescent="0.25">
      <c r="A7237" t="str">
        <f>T("   630619")</f>
        <v xml:space="preserve">   630619</v>
      </c>
      <c r="B7237"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7237">
        <v>1029992</v>
      </c>
      <c r="D7237">
        <v>50</v>
      </c>
    </row>
    <row r="7238" spans="1:4" x14ac:dyDescent="0.25">
      <c r="A7238" t="str">
        <f>T("   630900")</f>
        <v xml:space="preserve">   630900</v>
      </c>
      <c r="B7238" t="s">
        <v>300</v>
      </c>
      <c r="C7238">
        <v>318535766</v>
      </c>
      <c r="D7238">
        <v>629286</v>
      </c>
    </row>
    <row r="7239" spans="1:4" x14ac:dyDescent="0.25">
      <c r="A7239" t="str">
        <f>T("   721399")</f>
        <v xml:space="preserve">   721399</v>
      </c>
      <c r="B7239" t="s">
        <v>365</v>
      </c>
      <c r="C7239">
        <v>6729133</v>
      </c>
      <c r="D7239">
        <v>24759</v>
      </c>
    </row>
    <row r="7240" spans="1:4" x14ac:dyDescent="0.25">
      <c r="A7240" t="str">
        <f>T("   730820")</f>
        <v xml:space="preserve">   730820</v>
      </c>
      <c r="B7240" t="str">
        <f>T("   Tours et pylônes, en fer ou en acier")</f>
        <v xml:space="preserve">   Tours et pylônes, en fer ou en acier</v>
      </c>
      <c r="C7240">
        <v>235958191</v>
      </c>
      <c r="D7240">
        <v>1140</v>
      </c>
    </row>
    <row r="7241" spans="1:4" x14ac:dyDescent="0.25">
      <c r="A7241" t="str">
        <f>T("   731029")</f>
        <v xml:space="preserve">   731029</v>
      </c>
      <c r="B7241"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7241">
        <v>27524819</v>
      </c>
      <c r="D7241">
        <v>8991</v>
      </c>
    </row>
    <row r="7242" spans="1:4" x14ac:dyDescent="0.25">
      <c r="A7242" t="str">
        <f>T("   731815")</f>
        <v xml:space="preserve">   731815</v>
      </c>
      <c r="B7242" t="s">
        <v>380</v>
      </c>
      <c r="C7242">
        <v>29947</v>
      </c>
      <c r="D7242">
        <v>58</v>
      </c>
    </row>
    <row r="7243" spans="1:4" x14ac:dyDescent="0.25">
      <c r="A7243" t="str">
        <f>T("   732394")</f>
        <v xml:space="preserve">   732394</v>
      </c>
      <c r="B7243" t="s">
        <v>389</v>
      </c>
      <c r="C7243">
        <v>300000</v>
      </c>
      <c r="D7243">
        <v>730</v>
      </c>
    </row>
    <row r="7244" spans="1:4" x14ac:dyDescent="0.25">
      <c r="A7244" t="str">
        <f>T("   732690")</f>
        <v xml:space="preserve">   732690</v>
      </c>
      <c r="B724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244">
        <v>20064892</v>
      </c>
      <c r="D7244">
        <v>4142</v>
      </c>
    </row>
    <row r="7245" spans="1:4" x14ac:dyDescent="0.25">
      <c r="A7245" t="str">
        <f>T("   820559")</f>
        <v xml:space="preserve">   820559</v>
      </c>
      <c r="B7245" t="str">
        <f>T("   Outils à main, y.c. -les diamants de vitrier-, en métaux communs, n.d.a.")</f>
        <v xml:space="preserve">   Outils à main, y.c. -les diamants de vitrier-, en métaux communs, n.d.a.</v>
      </c>
      <c r="C7245">
        <v>5515962</v>
      </c>
      <c r="D7245">
        <v>5133</v>
      </c>
    </row>
    <row r="7246" spans="1:4" x14ac:dyDescent="0.25">
      <c r="A7246" t="str">
        <f>T("   821193")</f>
        <v xml:space="preserve">   821193</v>
      </c>
      <c r="B7246" t="str">
        <f>T("   Couteaux à lame non fixe, y.c. les serpettes fermantes, en métaux communs (sauf rasoirs à lame)")</f>
        <v xml:space="preserve">   Couteaux à lame non fixe, y.c. les serpettes fermantes, en métaux communs (sauf rasoirs à lame)</v>
      </c>
      <c r="C7246">
        <v>761177</v>
      </c>
      <c r="D7246">
        <v>87</v>
      </c>
    </row>
    <row r="7247" spans="1:4" x14ac:dyDescent="0.25">
      <c r="A7247" t="str">
        <f>T("   830140")</f>
        <v xml:space="preserve">   830140</v>
      </c>
      <c r="B7247"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247">
        <v>44823</v>
      </c>
      <c r="D7247">
        <v>10</v>
      </c>
    </row>
    <row r="7248" spans="1:4" x14ac:dyDescent="0.25">
      <c r="A7248" t="str">
        <f>T("   841381")</f>
        <v xml:space="preserve">   841381</v>
      </c>
      <c r="B7248" t="s">
        <v>420</v>
      </c>
      <c r="C7248">
        <v>200997480</v>
      </c>
      <c r="D7248">
        <v>44354</v>
      </c>
    </row>
    <row r="7249" spans="1:4" x14ac:dyDescent="0.25">
      <c r="A7249" t="str">
        <f>T("   841480")</f>
        <v xml:space="preserve">   841480</v>
      </c>
      <c r="B7249" t="s">
        <v>421</v>
      </c>
      <c r="C7249">
        <v>26645021</v>
      </c>
      <c r="D7249">
        <v>2318</v>
      </c>
    </row>
    <row r="7250" spans="1:4" x14ac:dyDescent="0.25">
      <c r="A7250" t="str">
        <f>T("   841829")</f>
        <v xml:space="preserve">   841829</v>
      </c>
      <c r="B7250" t="str">
        <f>T("   Réfrigérateurs ménagers à absorption, non-électriques")</f>
        <v xml:space="preserve">   Réfrigérateurs ménagers à absorption, non-électriques</v>
      </c>
      <c r="C7250">
        <v>1200000</v>
      </c>
      <c r="D7250">
        <v>7814</v>
      </c>
    </row>
    <row r="7251" spans="1:4" x14ac:dyDescent="0.25">
      <c r="A7251" t="str">
        <f>T("   842620")</f>
        <v xml:space="preserve">   842620</v>
      </c>
      <c r="B7251" t="str">
        <f>T("   Grues à tour")</f>
        <v xml:space="preserve">   Grues à tour</v>
      </c>
      <c r="C7251">
        <v>65751852</v>
      </c>
      <c r="D7251">
        <v>26320</v>
      </c>
    </row>
    <row r="7252" spans="1:4" x14ac:dyDescent="0.25">
      <c r="A7252" t="str">
        <f>T("   842951")</f>
        <v xml:space="preserve">   842951</v>
      </c>
      <c r="B7252" t="str">
        <f>T("   Chargeuses et chargeuses-pelleteuses, à chargement frontal, autopropulsées")</f>
        <v xml:space="preserve">   Chargeuses et chargeuses-pelleteuses, à chargement frontal, autopropulsées</v>
      </c>
      <c r="C7252">
        <v>63099562</v>
      </c>
      <c r="D7252">
        <v>34800</v>
      </c>
    </row>
    <row r="7253" spans="1:4" x14ac:dyDescent="0.25">
      <c r="A7253" t="str">
        <f>T("   843149")</f>
        <v xml:space="preserve">   843149</v>
      </c>
      <c r="B7253" t="str">
        <f>T("   Parties de machines et appareils du n° 8426, 8429 ou 8430, n.d.a.")</f>
        <v xml:space="preserve">   Parties de machines et appareils du n° 8426, 8429 ou 8430, n.d.a.</v>
      </c>
      <c r="C7253">
        <v>384642891</v>
      </c>
      <c r="D7253">
        <v>90584</v>
      </c>
    </row>
    <row r="7254" spans="1:4" x14ac:dyDescent="0.25">
      <c r="A7254" t="str">
        <f>T("   843810")</f>
        <v xml:space="preserve">   843810</v>
      </c>
      <c r="B7254" t="s">
        <v>440</v>
      </c>
      <c r="C7254">
        <v>298475</v>
      </c>
      <c r="D7254">
        <v>34</v>
      </c>
    </row>
    <row r="7255" spans="1:4" x14ac:dyDescent="0.25">
      <c r="A7255" t="str">
        <f>T("   847410")</f>
        <v xml:space="preserve">   847410</v>
      </c>
      <c r="B7255"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7255">
        <v>41790082</v>
      </c>
      <c r="D7255">
        <v>8627</v>
      </c>
    </row>
    <row r="7256" spans="1:4" x14ac:dyDescent="0.25">
      <c r="A7256" t="str">
        <f>T("   847431")</f>
        <v xml:space="preserve">   847431</v>
      </c>
      <c r="B7256"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256">
        <v>33432066</v>
      </c>
      <c r="D7256">
        <v>16000</v>
      </c>
    </row>
    <row r="7257" spans="1:4" x14ac:dyDescent="0.25">
      <c r="A7257" t="str">
        <f>T("   847910")</f>
        <v xml:space="preserve">   847910</v>
      </c>
      <c r="B7257" t="str">
        <f>T("   Machines et appareils pour les travaux publics, le bâtiment ou les travaux analogues, n.d.a.")</f>
        <v xml:space="preserve">   Machines et appareils pour les travaux publics, le bâtiment ou les travaux analogues, n.d.a.</v>
      </c>
      <c r="C7257">
        <v>426012255</v>
      </c>
      <c r="D7257">
        <v>104200</v>
      </c>
    </row>
    <row r="7258" spans="1:4" x14ac:dyDescent="0.25">
      <c r="A7258" t="str">
        <f>T("   847989")</f>
        <v xml:space="preserve">   847989</v>
      </c>
      <c r="B7258" t="str">
        <f>T("   Machines et appareils, y.c. les appareils mécaniques, n.d.a.")</f>
        <v xml:space="preserve">   Machines et appareils, y.c. les appareils mécaniques, n.d.a.</v>
      </c>
      <c r="C7258">
        <v>410212566</v>
      </c>
      <c r="D7258">
        <v>51048</v>
      </c>
    </row>
    <row r="7259" spans="1:4" x14ac:dyDescent="0.25">
      <c r="A7259" t="str">
        <f>T("   850213")</f>
        <v xml:space="preserve">   850213</v>
      </c>
      <c r="B7259" t="s">
        <v>471</v>
      </c>
      <c r="C7259">
        <v>212479342</v>
      </c>
      <c r="D7259">
        <v>29926</v>
      </c>
    </row>
    <row r="7260" spans="1:4" x14ac:dyDescent="0.25">
      <c r="A7260" t="str">
        <f>T("   851529")</f>
        <v xml:space="preserve">   851529</v>
      </c>
      <c r="B7260" t="str">
        <f>T("   MACHINES ET APPAREILS POUR LE SOUDAGE DES MÉTAUX PAR RÉSISTANCE, NON-AUTOMATIQUES")</f>
        <v xml:space="preserve">   MACHINES ET APPAREILS POUR LE SOUDAGE DES MÉTAUX PAR RÉSISTANCE, NON-AUTOMATIQUES</v>
      </c>
      <c r="C7260">
        <v>5014589</v>
      </c>
      <c r="D7260">
        <v>2190</v>
      </c>
    </row>
    <row r="7261" spans="1:4" x14ac:dyDescent="0.25">
      <c r="A7261" t="str">
        <f>T("   851660")</f>
        <v xml:space="preserve">   851660</v>
      </c>
      <c r="B726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261">
        <v>663149</v>
      </c>
      <c r="D7261">
        <v>76</v>
      </c>
    </row>
    <row r="7262" spans="1:4" x14ac:dyDescent="0.25">
      <c r="A7262" t="str">
        <f>T("   852390")</f>
        <v xml:space="preserve">   852390</v>
      </c>
      <c r="B7262"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7262">
        <v>151065</v>
      </c>
      <c r="D7262">
        <v>0.2</v>
      </c>
    </row>
    <row r="7263" spans="1:4" x14ac:dyDescent="0.25">
      <c r="A7263" t="str">
        <f>T("   852812")</f>
        <v xml:space="preserve">   852812</v>
      </c>
      <c r="B726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263">
        <v>500000</v>
      </c>
      <c r="D7263">
        <v>1100</v>
      </c>
    </row>
    <row r="7264" spans="1:4" x14ac:dyDescent="0.25">
      <c r="A7264" t="str">
        <f>T("   852990")</f>
        <v xml:space="preserve">   852990</v>
      </c>
      <c r="B7264" t="s">
        <v>496</v>
      </c>
      <c r="C7264">
        <v>21205574</v>
      </c>
      <c r="D7264">
        <v>128.4</v>
      </c>
    </row>
    <row r="7265" spans="1:4" x14ac:dyDescent="0.25">
      <c r="A7265" t="str">
        <f>T("   853669")</f>
        <v xml:space="preserve">   853669</v>
      </c>
      <c r="B7265" t="str">
        <f>T("   Fiches et prises de courant, pour une tension &lt;= 1.000 V (sauf douilles pour lampes)")</f>
        <v xml:space="preserve">   Fiches et prises de courant, pour une tension &lt;= 1.000 V (sauf douilles pour lampes)</v>
      </c>
      <c r="C7265">
        <v>13337671</v>
      </c>
      <c r="D7265">
        <v>3660</v>
      </c>
    </row>
    <row r="7266" spans="1:4" x14ac:dyDescent="0.25">
      <c r="A7266" t="str">
        <f>T("   854460")</f>
        <v xml:space="preserve">   854460</v>
      </c>
      <c r="B7266" t="str">
        <f>T("   Conducteurs électriques, pour tension &gt; 1.000 V, n.d.a.")</f>
        <v xml:space="preserve">   Conducteurs électriques, pour tension &gt; 1.000 V, n.d.a.</v>
      </c>
      <c r="C7266">
        <v>2785878</v>
      </c>
      <c r="D7266">
        <v>1500</v>
      </c>
    </row>
    <row r="7267" spans="1:4" x14ac:dyDescent="0.25">
      <c r="A7267" t="str">
        <f>T("   870110")</f>
        <v xml:space="preserve">   870110</v>
      </c>
      <c r="B7267"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7267">
        <v>520000</v>
      </c>
      <c r="D7267">
        <v>1500</v>
      </c>
    </row>
    <row r="7268" spans="1:4" x14ac:dyDescent="0.25">
      <c r="A7268" t="str">
        <f>T("   870120")</f>
        <v xml:space="preserve">   870120</v>
      </c>
      <c r="B7268" t="str">
        <f>T("   Tracteurs routiers pour semi-remorques")</f>
        <v xml:space="preserve">   Tracteurs routiers pour semi-remorques</v>
      </c>
      <c r="C7268">
        <v>4000000</v>
      </c>
      <c r="D7268">
        <v>12519</v>
      </c>
    </row>
    <row r="7269" spans="1:4" x14ac:dyDescent="0.25">
      <c r="A7269" t="str">
        <f>T("   870210")</f>
        <v xml:space="preserve">   870210</v>
      </c>
      <c r="B7269" t="s">
        <v>503</v>
      </c>
      <c r="C7269">
        <v>27893771</v>
      </c>
      <c r="D7269">
        <v>7192</v>
      </c>
    </row>
    <row r="7270" spans="1:4" x14ac:dyDescent="0.25">
      <c r="A7270" t="str">
        <f>T("   870290")</f>
        <v xml:space="preserve">   870290</v>
      </c>
      <c r="B7270" t="s">
        <v>504</v>
      </c>
      <c r="C7270">
        <v>2313797</v>
      </c>
      <c r="D7270">
        <v>1445</v>
      </c>
    </row>
    <row r="7271" spans="1:4" x14ac:dyDescent="0.25">
      <c r="A7271" t="str">
        <f>T("   870321")</f>
        <v xml:space="preserve">   870321</v>
      </c>
      <c r="B7271" t="s">
        <v>505</v>
      </c>
      <c r="C7271">
        <v>27835402</v>
      </c>
      <c r="D7271">
        <v>4395</v>
      </c>
    </row>
    <row r="7272" spans="1:4" x14ac:dyDescent="0.25">
      <c r="A7272" t="str">
        <f>T("   870322")</f>
        <v xml:space="preserve">   870322</v>
      </c>
      <c r="B7272" t="s">
        <v>506</v>
      </c>
      <c r="C7272">
        <v>48219231</v>
      </c>
      <c r="D7272">
        <v>24742</v>
      </c>
    </row>
    <row r="7273" spans="1:4" x14ac:dyDescent="0.25">
      <c r="A7273" t="str">
        <f>T("   870323")</f>
        <v xml:space="preserve">   870323</v>
      </c>
      <c r="B7273" t="s">
        <v>507</v>
      </c>
      <c r="C7273">
        <v>312644640</v>
      </c>
      <c r="D7273">
        <v>105952</v>
      </c>
    </row>
    <row r="7274" spans="1:4" x14ac:dyDescent="0.25">
      <c r="A7274" t="str">
        <f>T("   870324")</f>
        <v xml:space="preserve">   870324</v>
      </c>
      <c r="B7274" t="s">
        <v>508</v>
      </c>
      <c r="C7274">
        <v>567675244</v>
      </c>
      <c r="D7274">
        <v>83513</v>
      </c>
    </row>
    <row r="7275" spans="1:4" x14ac:dyDescent="0.25">
      <c r="A7275" t="str">
        <f>T("   870332")</f>
        <v xml:space="preserve">   870332</v>
      </c>
      <c r="B7275" t="s">
        <v>510</v>
      </c>
      <c r="C7275">
        <v>4642317</v>
      </c>
      <c r="D7275">
        <v>2760</v>
      </c>
    </row>
    <row r="7276" spans="1:4" x14ac:dyDescent="0.25">
      <c r="A7276" t="str">
        <f>T("   870333")</f>
        <v xml:space="preserve">   870333</v>
      </c>
      <c r="B7276" t="s">
        <v>511</v>
      </c>
      <c r="C7276">
        <v>108581372</v>
      </c>
      <c r="D7276">
        <v>17556</v>
      </c>
    </row>
    <row r="7277" spans="1:4" x14ac:dyDescent="0.25">
      <c r="A7277" t="str">
        <f>T("   870421")</f>
        <v xml:space="preserve">   870421</v>
      </c>
      <c r="B7277" t="s">
        <v>512</v>
      </c>
      <c r="C7277">
        <v>110170075</v>
      </c>
      <c r="D7277">
        <v>47730</v>
      </c>
    </row>
    <row r="7278" spans="1:4" x14ac:dyDescent="0.25">
      <c r="A7278" t="str">
        <f>T("   870422")</f>
        <v xml:space="preserve">   870422</v>
      </c>
      <c r="B7278" t="s">
        <v>513</v>
      </c>
      <c r="C7278">
        <v>3849438</v>
      </c>
      <c r="D7278">
        <v>3100</v>
      </c>
    </row>
    <row r="7279" spans="1:4" x14ac:dyDescent="0.25">
      <c r="A7279" t="str">
        <f>T("   870423")</f>
        <v xml:space="preserve">   870423</v>
      </c>
      <c r="B7279" t="s">
        <v>514</v>
      </c>
      <c r="C7279">
        <v>2000000</v>
      </c>
      <c r="D7279">
        <v>5860</v>
      </c>
    </row>
    <row r="7280" spans="1:4" x14ac:dyDescent="0.25">
      <c r="A7280" t="str">
        <f>T("   870431")</f>
        <v xml:space="preserve">   870431</v>
      </c>
      <c r="B7280" t="s">
        <v>515</v>
      </c>
      <c r="C7280">
        <v>4800000</v>
      </c>
      <c r="D7280">
        <v>6140</v>
      </c>
    </row>
    <row r="7281" spans="1:4" x14ac:dyDescent="0.25">
      <c r="A7281" t="str">
        <f>T("   870432")</f>
        <v xml:space="preserve">   870432</v>
      </c>
      <c r="B7281" t="s">
        <v>516</v>
      </c>
      <c r="C7281">
        <v>4423828</v>
      </c>
      <c r="D7281">
        <v>9100</v>
      </c>
    </row>
    <row r="7282" spans="1:4" x14ac:dyDescent="0.25">
      <c r="A7282" t="str">
        <f>T("   870510")</f>
        <v xml:space="preserve">   870510</v>
      </c>
      <c r="B7282" t="str">
        <f>T("   Camions-grues (sauf dépanneuses)")</f>
        <v xml:space="preserve">   Camions-grues (sauf dépanneuses)</v>
      </c>
      <c r="C7282">
        <v>9864872</v>
      </c>
      <c r="D7282">
        <v>4980</v>
      </c>
    </row>
    <row r="7283" spans="1:4" x14ac:dyDescent="0.25">
      <c r="A7283" t="str">
        <f>T("   870540")</f>
        <v xml:space="preserve">   870540</v>
      </c>
      <c r="B7283" t="str">
        <f>T("   Camions-bétonnières")</f>
        <v xml:space="preserve">   Camions-bétonnières</v>
      </c>
      <c r="C7283">
        <v>83846190</v>
      </c>
      <c r="D7283">
        <v>29710</v>
      </c>
    </row>
    <row r="7284" spans="1:4" x14ac:dyDescent="0.25">
      <c r="A7284" t="str">
        <f>T("   870590")</f>
        <v xml:space="preserve">   870590</v>
      </c>
      <c r="B7284" t="s">
        <v>517</v>
      </c>
      <c r="C7284">
        <v>26900388</v>
      </c>
      <c r="D7284">
        <v>9370</v>
      </c>
    </row>
    <row r="7285" spans="1:4" x14ac:dyDescent="0.25">
      <c r="A7285" t="str">
        <f>T("   870830")</f>
        <v xml:space="preserve">   870830</v>
      </c>
      <c r="B7285"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7285">
        <v>2361626</v>
      </c>
      <c r="D7285">
        <v>335</v>
      </c>
    </row>
    <row r="7286" spans="1:4" x14ac:dyDescent="0.25">
      <c r="A7286" t="str">
        <f>T("   870899")</f>
        <v xml:space="preserve">   870899</v>
      </c>
      <c r="B728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286">
        <v>8170901</v>
      </c>
      <c r="D7286">
        <v>220.7</v>
      </c>
    </row>
    <row r="7287" spans="1:4" x14ac:dyDescent="0.25">
      <c r="A7287" t="str">
        <f>T("   871110")</f>
        <v xml:space="preserve">   871110</v>
      </c>
      <c r="B7287" t="str">
        <f>T("   Cyclomoteurs, à moteur à piston alternatif, cylindrée &lt;= 50 cm³, y.c. cycles à moteur auxiliaire")</f>
        <v xml:space="preserve">   Cyclomoteurs, à moteur à piston alternatif, cylindrée &lt;= 50 cm³, y.c. cycles à moteur auxiliaire</v>
      </c>
      <c r="C7287">
        <v>33014010</v>
      </c>
      <c r="D7287">
        <v>5940</v>
      </c>
    </row>
    <row r="7288" spans="1:4" x14ac:dyDescent="0.25">
      <c r="A7288" t="str">
        <f>T("   871120")</f>
        <v xml:space="preserve">   871120</v>
      </c>
      <c r="B7288" t="str">
        <f>T("   Motocycles à moteur à piston alternatif, cylindrée &gt; 50 cm³ mais &lt;= 250 cm³")</f>
        <v xml:space="preserve">   Motocycles à moteur à piston alternatif, cylindrée &gt; 50 cm³ mais &lt;= 250 cm³</v>
      </c>
      <c r="C7288">
        <v>30984496</v>
      </c>
      <c r="D7288">
        <v>4771</v>
      </c>
    </row>
    <row r="7289" spans="1:4" x14ac:dyDescent="0.25">
      <c r="A7289" t="str">
        <f>T("   871130")</f>
        <v xml:space="preserve">   871130</v>
      </c>
      <c r="B7289" t="str">
        <f>T("   Motocycles à moteur à piston alternatif, cylindrée &gt; 250 cm³ mais &lt;= 500 cm³")</f>
        <v xml:space="preserve">   Motocycles à moteur à piston alternatif, cylindrée &gt; 250 cm³ mais &lt;= 500 cm³</v>
      </c>
      <c r="C7289">
        <v>300000</v>
      </c>
      <c r="D7289">
        <v>150</v>
      </c>
    </row>
    <row r="7290" spans="1:4" x14ac:dyDescent="0.25">
      <c r="A7290" t="str">
        <f>T("   871140")</f>
        <v xml:space="preserve">   871140</v>
      </c>
      <c r="B7290" t="str">
        <f>T("   Motocycles à moteur à piston alternatif, cylindrée &gt; 500 cm³ mais &lt;= 800 cm³")</f>
        <v xml:space="preserve">   Motocycles à moteur à piston alternatif, cylindrée &gt; 500 cm³ mais &lt;= 800 cm³</v>
      </c>
      <c r="C7290">
        <v>1078000</v>
      </c>
      <c r="D7290">
        <v>600</v>
      </c>
    </row>
    <row r="7291" spans="1:4" x14ac:dyDescent="0.25">
      <c r="A7291" t="str">
        <f>T("   871190")</f>
        <v xml:space="preserve">   871190</v>
      </c>
      <c r="B7291" t="str">
        <f>T("   Side-cars")</f>
        <v xml:space="preserve">   Side-cars</v>
      </c>
      <c r="C7291">
        <v>5805000</v>
      </c>
      <c r="D7291">
        <v>6021</v>
      </c>
    </row>
    <row r="7292" spans="1:4" x14ac:dyDescent="0.25">
      <c r="A7292" t="str">
        <f>T("   871411")</f>
        <v xml:space="preserve">   871411</v>
      </c>
      <c r="B7292" t="str">
        <f>T("   Selles de motocycles, y.c. de cyclomoteurs")</f>
        <v xml:space="preserve">   Selles de motocycles, y.c. de cyclomoteurs</v>
      </c>
      <c r="C7292">
        <v>87089</v>
      </c>
      <c r="D7292">
        <v>7.9</v>
      </c>
    </row>
    <row r="7293" spans="1:4" x14ac:dyDescent="0.25">
      <c r="A7293" t="str">
        <f>T("   940350")</f>
        <v xml:space="preserve">   940350</v>
      </c>
      <c r="B7293" t="str">
        <f>T("   Meubles pour chambres à coucher, en bois (sauf sièges)")</f>
        <v xml:space="preserve">   Meubles pour chambres à coucher, en bois (sauf sièges)</v>
      </c>
      <c r="C7293">
        <v>1500000</v>
      </c>
      <c r="D7293">
        <v>2100</v>
      </c>
    </row>
    <row r="7294" spans="1:4" x14ac:dyDescent="0.25">
      <c r="A7294" t="str">
        <f>T("   950639")</f>
        <v xml:space="preserve">   950639</v>
      </c>
      <c r="B7294" t="str">
        <f>T("   Matériel de golf (sauf clubs et balles de golf)")</f>
        <v xml:space="preserve">   Matériel de golf (sauf clubs et balles de golf)</v>
      </c>
      <c r="C7294">
        <v>949672</v>
      </c>
      <c r="D7294">
        <v>79</v>
      </c>
    </row>
    <row r="7295" spans="1:4" x14ac:dyDescent="0.25">
      <c r="A7295" t="str">
        <f>T("KE")</f>
        <v>KE</v>
      </c>
      <c r="B7295" t="str">
        <f>T("Kenya")</f>
        <v>Kenya</v>
      </c>
    </row>
    <row r="7296" spans="1:4" x14ac:dyDescent="0.25">
      <c r="A7296" t="str">
        <f>T("   ZZ_Total_Produit_SH6")</f>
        <v xml:space="preserve">   ZZ_Total_Produit_SH6</v>
      </c>
      <c r="B7296" t="str">
        <f>T("   ZZ_Total_Produit_SH6")</f>
        <v xml:space="preserve">   ZZ_Total_Produit_SH6</v>
      </c>
      <c r="C7296">
        <v>38557007</v>
      </c>
      <c r="D7296">
        <v>54856</v>
      </c>
    </row>
    <row r="7297" spans="1:4" x14ac:dyDescent="0.25">
      <c r="A7297" t="str">
        <f>T("   530310")</f>
        <v xml:space="preserve">   530310</v>
      </c>
      <c r="B7297" t="str">
        <f>T("   Jute et autres fibres textiles libériennes, bruts ou rouis (à l'excl. du lin, du chanvre et de la ramie)")</f>
        <v xml:space="preserve">   Jute et autres fibres textiles libériennes, bruts ou rouis (à l'excl. du lin, du chanvre et de la ramie)</v>
      </c>
      <c r="C7297">
        <v>26824645</v>
      </c>
      <c r="D7297">
        <v>29000</v>
      </c>
    </row>
    <row r="7298" spans="1:4" x14ac:dyDescent="0.25">
      <c r="A7298" t="str">
        <f>T("   530410")</f>
        <v xml:space="preserve">   530410</v>
      </c>
      <c r="B7298" t="str">
        <f>T("   Sisal et autres fibres textiles du genre 'Agave', bruts")</f>
        <v xml:space="preserve">   Sisal et autres fibres textiles du genre 'Agave', bruts</v>
      </c>
      <c r="C7298">
        <v>7820434</v>
      </c>
      <c r="D7298">
        <v>22000</v>
      </c>
    </row>
    <row r="7299" spans="1:4" x14ac:dyDescent="0.25">
      <c r="A7299" t="str">
        <f>T("   610910")</f>
        <v xml:space="preserve">   610910</v>
      </c>
      <c r="B7299" t="str">
        <f>T("   T-shirts et maillots de corps, en bonneterie, de coton,")</f>
        <v xml:space="preserve">   T-shirts et maillots de corps, en bonneterie, de coton,</v>
      </c>
      <c r="C7299">
        <v>371928</v>
      </c>
      <c r="D7299">
        <v>550</v>
      </c>
    </row>
    <row r="7300" spans="1:4" x14ac:dyDescent="0.25">
      <c r="A7300" t="str">
        <f>T("   620349")</f>
        <v xml:space="preserve">   620349</v>
      </c>
      <c r="B7300" t="s">
        <v>289</v>
      </c>
      <c r="C7300">
        <v>2000000</v>
      </c>
      <c r="D7300">
        <v>306</v>
      </c>
    </row>
    <row r="7301" spans="1:4" x14ac:dyDescent="0.25">
      <c r="A7301" t="str">
        <f>T("   940389")</f>
        <v xml:space="preserve">   940389</v>
      </c>
      <c r="B7301"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7301">
        <v>1540000</v>
      </c>
      <c r="D7301">
        <v>3000</v>
      </c>
    </row>
    <row r="7302" spans="1:4" x14ac:dyDescent="0.25">
      <c r="A7302" t="str">
        <f>T("KG")</f>
        <v>KG</v>
      </c>
      <c r="B7302" t="str">
        <f>T("Kirghizistan")</f>
        <v>Kirghizistan</v>
      </c>
    </row>
    <row r="7303" spans="1:4" x14ac:dyDescent="0.25">
      <c r="A7303" t="str">
        <f>T("   ZZ_Total_Produit_SH6")</f>
        <v xml:space="preserve">   ZZ_Total_Produit_SH6</v>
      </c>
      <c r="B7303" t="str">
        <f>T("   ZZ_Total_Produit_SH6")</f>
        <v xml:space="preserve">   ZZ_Total_Produit_SH6</v>
      </c>
      <c r="C7303">
        <v>74923</v>
      </c>
      <c r="D7303">
        <v>17</v>
      </c>
    </row>
    <row r="7304" spans="1:4" x14ac:dyDescent="0.25">
      <c r="A7304" t="str">
        <f>T("   940599")</f>
        <v xml:space="preserve">   940599</v>
      </c>
      <c r="B7304" t="str">
        <f>T("   Parties d'appareils d'éclairage, de lampes-réclames, d'enseignes lumineuses, de plaques indicatrices lumineuses, et simil., n.d.a.")</f>
        <v xml:space="preserve">   Parties d'appareils d'éclairage, de lampes-réclames, d'enseignes lumineuses, de plaques indicatrices lumineuses, et simil., n.d.a.</v>
      </c>
      <c r="C7304">
        <v>74923</v>
      </c>
      <c r="D7304">
        <v>17</v>
      </c>
    </row>
    <row r="7305" spans="1:4" x14ac:dyDescent="0.25">
      <c r="A7305" t="str">
        <f>T("KH")</f>
        <v>KH</v>
      </c>
      <c r="B7305" t="str">
        <f>T("Cambodge")</f>
        <v>Cambodge</v>
      </c>
    </row>
    <row r="7306" spans="1:4" x14ac:dyDescent="0.25">
      <c r="A7306" t="str">
        <f>T("   ZZ_Total_Produit_SH6")</f>
        <v xml:space="preserve">   ZZ_Total_Produit_SH6</v>
      </c>
      <c r="B7306" t="str">
        <f>T("   ZZ_Total_Produit_SH6")</f>
        <v xml:space="preserve">   ZZ_Total_Produit_SH6</v>
      </c>
      <c r="C7306">
        <v>7357763</v>
      </c>
      <c r="D7306">
        <v>3107.9</v>
      </c>
    </row>
    <row r="7307" spans="1:4" x14ac:dyDescent="0.25">
      <c r="A7307" t="str">
        <f>T("   620590")</f>
        <v xml:space="preserve">   620590</v>
      </c>
      <c r="B730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307">
        <v>900000</v>
      </c>
      <c r="D7307">
        <v>950</v>
      </c>
    </row>
    <row r="7308" spans="1:4" x14ac:dyDescent="0.25">
      <c r="A7308" t="str">
        <f>T("   732394")</f>
        <v xml:space="preserve">   732394</v>
      </c>
      <c r="B7308" t="s">
        <v>389</v>
      </c>
      <c r="C7308">
        <v>400000</v>
      </c>
      <c r="D7308">
        <v>450</v>
      </c>
    </row>
    <row r="7309" spans="1:4" x14ac:dyDescent="0.25">
      <c r="A7309" t="str">
        <f>T("   851769")</f>
        <v xml:space="preserve">   851769</v>
      </c>
      <c r="B7309" t="s">
        <v>481</v>
      </c>
      <c r="C7309">
        <v>3511340</v>
      </c>
      <c r="D7309">
        <v>100</v>
      </c>
    </row>
    <row r="7310" spans="1:4" x14ac:dyDescent="0.25">
      <c r="A7310" t="str">
        <f>T("   901190")</f>
        <v xml:space="preserve">   901190</v>
      </c>
      <c r="B7310" t="str">
        <f>T("   Parties et accessoires de microscopes optiques, n.d.a.")</f>
        <v xml:space="preserve">   Parties et accessoires de microscopes optiques, n.d.a.</v>
      </c>
      <c r="C7310">
        <v>846423</v>
      </c>
      <c r="D7310">
        <v>7.9</v>
      </c>
    </row>
    <row r="7311" spans="1:4" x14ac:dyDescent="0.25">
      <c r="A7311" t="str">
        <f>T("   940350")</f>
        <v xml:space="preserve">   940350</v>
      </c>
      <c r="B7311" t="str">
        <f>T("   Meubles pour chambres à coucher, en bois (sauf sièges)")</f>
        <v xml:space="preserve">   Meubles pour chambres à coucher, en bois (sauf sièges)</v>
      </c>
      <c r="C7311">
        <v>1700000</v>
      </c>
      <c r="D7311">
        <v>1600</v>
      </c>
    </row>
    <row r="7312" spans="1:4" x14ac:dyDescent="0.25">
      <c r="A7312" t="str">
        <f>T("KN")</f>
        <v>KN</v>
      </c>
      <c r="B7312" t="str">
        <f>T("Saint Kitts et Nevis")</f>
        <v>Saint Kitts et Nevis</v>
      </c>
    </row>
    <row r="7313" spans="1:4" x14ac:dyDescent="0.25">
      <c r="A7313" t="str">
        <f>T("   ZZ_Total_Produit_SH6")</f>
        <v xml:space="preserve">   ZZ_Total_Produit_SH6</v>
      </c>
      <c r="B7313" t="str">
        <f>T("   ZZ_Total_Produit_SH6")</f>
        <v xml:space="preserve">   ZZ_Total_Produit_SH6</v>
      </c>
      <c r="C7313">
        <v>1000000</v>
      </c>
      <c r="D7313">
        <v>429</v>
      </c>
    </row>
    <row r="7314" spans="1:4" x14ac:dyDescent="0.25">
      <c r="A7314" t="str">
        <f>T("   621040")</f>
        <v xml:space="preserve">   621040</v>
      </c>
      <c r="B7314" t="s">
        <v>294</v>
      </c>
      <c r="C7314">
        <v>1000000</v>
      </c>
      <c r="D7314">
        <v>429</v>
      </c>
    </row>
    <row r="7315" spans="1:4" x14ac:dyDescent="0.25">
      <c r="A7315" t="str">
        <f>T("KP")</f>
        <v>KP</v>
      </c>
      <c r="B7315" t="str">
        <f>T("Corée, Rép. Populaire Démocratique")</f>
        <v>Corée, Rép. Populaire Démocratique</v>
      </c>
    </row>
    <row r="7316" spans="1:4" x14ac:dyDescent="0.25">
      <c r="A7316" t="str">
        <f>T("   ZZ_Total_Produit_SH6")</f>
        <v xml:space="preserve">   ZZ_Total_Produit_SH6</v>
      </c>
      <c r="B7316" t="str">
        <f>T("   ZZ_Total_Produit_SH6")</f>
        <v xml:space="preserve">   ZZ_Total_Produit_SH6</v>
      </c>
      <c r="C7316">
        <v>471931777</v>
      </c>
      <c r="D7316">
        <v>1508287.3</v>
      </c>
    </row>
    <row r="7317" spans="1:4" x14ac:dyDescent="0.25">
      <c r="A7317" t="str">
        <f>T("   271019")</f>
        <v xml:space="preserve">   271019</v>
      </c>
      <c r="B7317" t="str">
        <f>T("   Huiles moyennes et préparations, de pétrole ou de minéraux bitumineux, n.d.a.")</f>
        <v xml:space="preserve">   Huiles moyennes et préparations, de pétrole ou de minéraux bitumineux, n.d.a.</v>
      </c>
      <c r="C7317">
        <v>436232500</v>
      </c>
      <c r="D7317">
        <v>1500000</v>
      </c>
    </row>
    <row r="7318" spans="1:4" x14ac:dyDescent="0.25">
      <c r="A7318" t="str">
        <f>T("   382200")</f>
        <v xml:space="preserve">   382200</v>
      </c>
      <c r="B7318" t="s">
        <v>133</v>
      </c>
      <c r="C7318">
        <v>1389683</v>
      </c>
      <c r="D7318">
        <v>20</v>
      </c>
    </row>
    <row r="7319" spans="1:4" x14ac:dyDescent="0.25">
      <c r="A7319" t="str">
        <f>T("   401110")</f>
        <v xml:space="preserve">   401110</v>
      </c>
      <c r="B731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319">
        <v>9800000</v>
      </c>
      <c r="D7319">
        <v>4236</v>
      </c>
    </row>
    <row r="7320" spans="1:4" x14ac:dyDescent="0.25">
      <c r="A7320" t="str">
        <f>T("   560729")</f>
        <v xml:space="preserve">   560729</v>
      </c>
      <c r="B7320"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7320">
        <v>150000</v>
      </c>
      <c r="D7320">
        <v>145</v>
      </c>
    </row>
    <row r="7321" spans="1:4" x14ac:dyDescent="0.25">
      <c r="A7321" t="str">
        <f>T("   610510")</f>
        <v xml:space="preserve">   610510</v>
      </c>
      <c r="B7321"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7321">
        <v>20000</v>
      </c>
      <c r="D7321">
        <v>175</v>
      </c>
    </row>
    <row r="7322" spans="1:4" x14ac:dyDescent="0.25">
      <c r="A7322" t="str">
        <f>T("   841510")</f>
        <v xml:space="preserve">   841510</v>
      </c>
      <c r="B7322" t="s">
        <v>422</v>
      </c>
      <c r="C7322">
        <v>3530083</v>
      </c>
      <c r="D7322">
        <v>3045</v>
      </c>
    </row>
    <row r="7323" spans="1:4" x14ac:dyDescent="0.25">
      <c r="A7323" t="str">
        <f>T("   842139")</f>
        <v xml:space="preserve">   842139</v>
      </c>
      <c r="B7323"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323">
        <v>67255</v>
      </c>
      <c r="D7323">
        <v>1</v>
      </c>
    </row>
    <row r="7324" spans="1:4" x14ac:dyDescent="0.25">
      <c r="A7324" t="str">
        <f>T("   848490")</f>
        <v xml:space="preserve">   848490</v>
      </c>
      <c r="B7324" t="str">
        <f>T("   Jeux ou assortiments de joints de composition différente présentés en pochettes, enveloppes ou emballages analogues")</f>
        <v xml:space="preserve">   Jeux ou assortiments de joints de composition différente présentés en pochettes, enveloppes ou emballages analogues</v>
      </c>
      <c r="C7324">
        <v>292988</v>
      </c>
      <c r="D7324">
        <v>2</v>
      </c>
    </row>
    <row r="7325" spans="1:4" x14ac:dyDescent="0.25">
      <c r="A7325" t="str">
        <f>T("   853939")</f>
        <v xml:space="preserve">   853939</v>
      </c>
      <c r="B7325"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325">
        <v>19367448</v>
      </c>
      <c r="D7325">
        <v>137</v>
      </c>
    </row>
    <row r="7326" spans="1:4" x14ac:dyDescent="0.25">
      <c r="A7326" t="str">
        <f>T("   901819")</f>
        <v xml:space="preserve">   901819</v>
      </c>
      <c r="B7326" t="s">
        <v>527</v>
      </c>
      <c r="C7326">
        <v>475000</v>
      </c>
      <c r="D7326">
        <v>243</v>
      </c>
    </row>
    <row r="7327" spans="1:4" x14ac:dyDescent="0.25">
      <c r="A7327" t="str">
        <f>T("   901890")</f>
        <v xml:space="preserve">   901890</v>
      </c>
      <c r="B7327" t="str">
        <f>T("   Instruments et appareils pour la médecine, la chirurgie ou l'art vétérinaire, n.d.a.")</f>
        <v xml:space="preserve">   Instruments et appareils pour la médecine, la chirurgie ou l'art vétérinaire, n.d.a.</v>
      </c>
      <c r="C7327">
        <v>606820</v>
      </c>
      <c r="D7327">
        <v>283.3</v>
      </c>
    </row>
    <row r="7328" spans="1:4" x14ac:dyDescent="0.25">
      <c r="A7328" t="str">
        <f>T("KR")</f>
        <v>KR</v>
      </c>
      <c r="B7328" t="str">
        <f>T("Corée, République de")</f>
        <v>Corée, République de</v>
      </c>
    </row>
    <row r="7329" spans="1:4" x14ac:dyDescent="0.25">
      <c r="A7329" t="str">
        <f>T("   ZZ_Total_Produit_SH6")</f>
        <v xml:space="preserve">   ZZ_Total_Produit_SH6</v>
      </c>
      <c r="B7329" t="str">
        <f>T("   ZZ_Total_Produit_SH6")</f>
        <v xml:space="preserve">   ZZ_Total_Produit_SH6</v>
      </c>
      <c r="C7329">
        <v>3077171755.9299998</v>
      </c>
      <c r="D7329">
        <v>38988791.5</v>
      </c>
    </row>
    <row r="7330" spans="1:4" x14ac:dyDescent="0.25">
      <c r="A7330" t="str">
        <f>T("   030379")</f>
        <v xml:space="preserve">   030379</v>
      </c>
      <c r="B7330" t="s">
        <v>16</v>
      </c>
      <c r="C7330">
        <v>115309783</v>
      </c>
      <c r="D7330">
        <v>512478</v>
      </c>
    </row>
    <row r="7331" spans="1:4" x14ac:dyDescent="0.25">
      <c r="A7331" t="str">
        <f>T("   060390")</f>
        <v xml:space="preserve">   060390</v>
      </c>
      <c r="B7331"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7331">
        <v>140000</v>
      </c>
      <c r="D7331">
        <v>80</v>
      </c>
    </row>
    <row r="7332" spans="1:4" x14ac:dyDescent="0.25">
      <c r="A7332" t="str">
        <f>T("   151190")</f>
        <v xml:space="preserve">   151190</v>
      </c>
      <c r="B7332" t="str">
        <f>T("   Huile de palme et ses fractions, même raffinées, mais non chimiquement modifiées (à l'excl. de l'huile de palme brute)")</f>
        <v xml:space="preserve">   Huile de palme et ses fractions, même raffinées, mais non chimiquement modifiées (à l'excl. de l'huile de palme brute)</v>
      </c>
      <c r="C7332">
        <v>16942676.93</v>
      </c>
      <c r="D7332">
        <v>44000</v>
      </c>
    </row>
    <row r="7333" spans="1:4" x14ac:dyDescent="0.25">
      <c r="A7333" t="str">
        <f>T("   151620")</f>
        <v xml:space="preserve">   151620</v>
      </c>
      <c r="B7333"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333">
        <v>24895</v>
      </c>
      <c r="D7333">
        <v>15</v>
      </c>
    </row>
    <row r="7334" spans="1:4" x14ac:dyDescent="0.25">
      <c r="A7334" t="str">
        <f>T("   252310")</f>
        <v xml:space="preserve">   252310</v>
      </c>
      <c r="B7334" t="str">
        <f>T("   Ciments non pulvérisés dits 'clinkers'")</f>
        <v xml:space="preserve">   Ciments non pulvérisés dits 'clinkers'</v>
      </c>
      <c r="C7334">
        <v>1277500000</v>
      </c>
      <c r="D7334">
        <v>36500000</v>
      </c>
    </row>
    <row r="7335" spans="1:4" x14ac:dyDescent="0.25">
      <c r="A7335" t="str">
        <f>T("   300290")</f>
        <v xml:space="preserve">   300290</v>
      </c>
      <c r="B7335" t="str">
        <f>T("   Sang humain; sang animal préparé en vue d'usages thérapeutiques, prophylactiques ou de diagnostic; toxines, cultures de micro-organismes et produits simil. (à l'excl. des levures et des vaccins)")</f>
        <v xml:space="preserve">   Sang humain; sang animal préparé en vue d'usages thérapeutiques, prophylactiques ou de diagnostic; toxines, cultures de micro-organismes et produits simil. (à l'excl. des levures et des vaccins)</v>
      </c>
      <c r="C7335">
        <v>400000</v>
      </c>
      <c r="D7335">
        <v>285</v>
      </c>
    </row>
    <row r="7336" spans="1:4" x14ac:dyDescent="0.25">
      <c r="A7336" t="str">
        <f>T("   300310")</f>
        <v xml:space="preserve">   300310</v>
      </c>
      <c r="B7336" t="str">
        <f>T("   Médicaments contenant des pénicillines ou des dérivés de ces produits, à structure d'acide pénicillanique, ou des streptomycines ou des dérivés de ces produits, non présentés sous forme de doses, ni conditionnés pour la vente au détail")</f>
        <v xml:space="preserve">   Médicaments contenant des pénicillines ou des dérivés de ces produits, à structure d'acide pénicillanique, ou des streptomycines ou des dérivés de ces produits, non présentés sous forme de doses, ni conditionnés pour la vente au détail</v>
      </c>
      <c r="C7336">
        <v>400000</v>
      </c>
      <c r="D7336">
        <v>149</v>
      </c>
    </row>
    <row r="7337" spans="1:4" x14ac:dyDescent="0.25">
      <c r="A7337" t="str">
        <f>T("   300490")</f>
        <v xml:space="preserve">   300490</v>
      </c>
      <c r="B7337" t="s">
        <v>84</v>
      </c>
      <c r="C7337">
        <v>3352128</v>
      </c>
      <c r="D7337">
        <v>1826</v>
      </c>
    </row>
    <row r="7338" spans="1:4" x14ac:dyDescent="0.25">
      <c r="A7338" t="str">
        <f>T("   370390")</f>
        <v xml:space="preserve">   370390</v>
      </c>
      <c r="B7338"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7338">
        <v>879213</v>
      </c>
      <c r="D7338">
        <v>226</v>
      </c>
    </row>
    <row r="7339" spans="1:4" x14ac:dyDescent="0.25">
      <c r="A7339" t="str">
        <f>T("   382200")</f>
        <v xml:space="preserve">   382200</v>
      </c>
      <c r="B7339" t="s">
        <v>133</v>
      </c>
      <c r="C7339">
        <v>1278265</v>
      </c>
      <c r="D7339">
        <v>21</v>
      </c>
    </row>
    <row r="7340" spans="1:4" x14ac:dyDescent="0.25">
      <c r="A7340" t="str">
        <f>T("   390110")</f>
        <v xml:space="preserve">   390110</v>
      </c>
      <c r="B7340" t="str">
        <f>T("   Polyéthylène d'une densité &lt; 0,94, sous formes primaires")</f>
        <v xml:space="preserve">   Polyéthylène d'une densité &lt; 0,94, sous formes primaires</v>
      </c>
      <c r="C7340">
        <v>29860532</v>
      </c>
      <c r="D7340">
        <v>35742</v>
      </c>
    </row>
    <row r="7341" spans="1:4" x14ac:dyDescent="0.25">
      <c r="A7341" t="str">
        <f>T("   390190")</f>
        <v xml:space="preserve">   390190</v>
      </c>
      <c r="B7341"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7341">
        <v>20511213</v>
      </c>
      <c r="D7341">
        <v>40000</v>
      </c>
    </row>
    <row r="7342" spans="1:4" x14ac:dyDescent="0.25">
      <c r="A7342" t="str">
        <f>T("   390210")</f>
        <v xml:space="preserve">   390210</v>
      </c>
      <c r="B7342" t="str">
        <f>T("   Polypropylène, sous formes primaires")</f>
        <v xml:space="preserve">   Polypropylène, sous formes primaires</v>
      </c>
      <c r="C7342">
        <v>68447458</v>
      </c>
      <c r="D7342">
        <v>85000</v>
      </c>
    </row>
    <row r="7343" spans="1:4" x14ac:dyDescent="0.25">
      <c r="A7343" t="str">
        <f>T("   390799")</f>
        <v xml:space="preserve">   390799</v>
      </c>
      <c r="B7343"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7343">
        <v>142523709</v>
      </c>
      <c r="D7343">
        <v>176000</v>
      </c>
    </row>
    <row r="7344" spans="1:4" x14ac:dyDescent="0.25">
      <c r="A7344" t="str">
        <f>T("   401110")</f>
        <v xml:space="preserve">   401110</v>
      </c>
      <c r="B734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344">
        <v>41226125</v>
      </c>
      <c r="D7344">
        <v>12080</v>
      </c>
    </row>
    <row r="7345" spans="1:4" x14ac:dyDescent="0.25">
      <c r="A7345" t="str">
        <f>T("   401120")</f>
        <v xml:space="preserve">   401120</v>
      </c>
      <c r="B734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345">
        <v>4874567</v>
      </c>
      <c r="D7345">
        <v>1498</v>
      </c>
    </row>
    <row r="7346" spans="1:4" x14ac:dyDescent="0.25">
      <c r="A7346" t="str">
        <f>T("   401169")</f>
        <v xml:space="preserve">   401169</v>
      </c>
      <c r="B7346" t="str">
        <f>T("   Pneumatiques neufs, en caoutchouc, à crampons, à chevrons ou simil. (à l'excl. des articles des types utilisés pour les véhicules et engins agricoles et forestiers, de génie civil et de manutention industrielle)")</f>
        <v xml:space="preserve">   Pneumatiques neufs, en caoutchouc, à crampons, à chevrons ou simil. (à l'excl. des articles des types utilisés pour les véhicules et engins agricoles et forestiers, de génie civil et de manutention industrielle)</v>
      </c>
      <c r="C7346">
        <v>7296397</v>
      </c>
      <c r="D7346">
        <v>2243</v>
      </c>
    </row>
    <row r="7347" spans="1:4" x14ac:dyDescent="0.25">
      <c r="A7347" t="str">
        <f>T("   420229")</f>
        <v xml:space="preserve">   420229</v>
      </c>
      <c r="B734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347">
        <v>19911598</v>
      </c>
      <c r="D7347">
        <v>44464.5</v>
      </c>
    </row>
    <row r="7348" spans="1:4" x14ac:dyDescent="0.25">
      <c r="A7348" t="str">
        <f>T("   481029")</f>
        <v xml:space="preserve">   481029</v>
      </c>
      <c r="B7348" t="s">
        <v>222</v>
      </c>
      <c r="C7348">
        <v>34474771</v>
      </c>
      <c r="D7348">
        <v>74917</v>
      </c>
    </row>
    <row r="7349" spans="1:4" x14ac:dyDescent="0.25">
      <c r="A7349" t="str">
        <f>T("   481099")</f>
        <v xml:space="preserve">   481099</v>
      </c>
      <c r="B7349" t="s">
        <v>225</v>
      </c>
      <c r="C7349">
        <v>16384438</v>
      </c>
      <c r="D7349">
        <v>38880</v>
      </c>
    </row>
    <row r="7350" spans="1:4" x14ac:dyDescent="0.25">
      <c r="A7350" t="str">
        <f>T("   490199")</f>
        <v xml:space="preserve">   490199</v>
      </c>
      <c r="B735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350">
        <v>58821095</v>
      </c>
      <c r="D7350">
        <v>52594</v>
      </c>
    </row>
    <row r="7351" spans="1:4" x14ac:dyDescent="0.25">
      <c r="A7351" t="str">
        <f>T("   491000")</f>
        <v xml:space="preserve">   491000</v>
      </c>
      <c r="B7351" t="str">
        <f>T("   Calendriers de tous genres, imprimés, y.c. les blocs de calendriers à effeuiller")</f>
        <v xml:space="preserve">   Calendriers de tous genres, imprimés, y.c. les blocs de calendriers à effeuiller</v>
      </c>
      <c r="C7351">
        <v>44227</v>
      </c>
      <c r="D7351">
        <v>15</v>
      </c>
    </row>
    <row r="7352" spans="1:4" x14ac:dyDescent="0.25">
      <c r="A7352" t="str">
        <f>T("   551299")</f>
        <v xml:space="preserve">   551299</v>
      </c>
      <c r="B7352"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7352">
        <v>28000000</v>
      </c>
      <c r="D7352">
        <v>39100</v>
      </c>
    </row>
    <row r="7353" spans="1:4" x14ac:dyDescent="0.25">
      <c r="A7353" t="str">
        <f>T("   570490")</f>
        <v xml:space="preserve">   570490</v>
      </c>
      <c r="B7353"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7353">
        <v>3275000</v>
      </c>
      <c r="D7353">
        <v>16000</v>
      </c>
    </row>
    <row r="7354" spans="1:4" x14ac:dyDescent="0.25">
      <c r="A7354" t="str">
        <f>T("   610990")</f>
        <v xml:space="preserve">   610990</v>
      </c>
      <c r="B7354" t="str">
        <f>T("   T-shirts et maillots de corps, en bonneterie, de matières textiles (sauf de coton)")</f>
        <v xml:space="preserve">   T-shirts et maillots de corps, en bonneterie, de matières textiles (sauf de coton)</v>
      </c>
      <c r="C7354">
        <v>19678</v>
      </c>
      <c r="D7354">
        <v>128</v>
      </c>
    </row>
    <row r="7355" spans="1:4" x14ac:dyDescent="0.25">
      <c r="A7355" t="str">
        <f>T("   620719")</f>
        <v xml:space="preserve">   620719</v>
      </c>
      <c r="B7355" t="str">
        <f>T("   SLIPS ET CALETHONS, DE MATIÈRES TEXTILES, POUR HOMMES OU GARÇONNETS (AUTRES QUE DE COTON ET AUTRES QU'EN BONNETERIE)")</f>
        <v xml:space="preserve">   SLIPS ET CALETHONS, DE MATIÈRES TEXTILES, POUR HOMMES OU GARÇONNETS (AUTRES QUE DE COTON ET AUTRES QU'EN BONNETERIE)</v>
      </c>
      <c r="C7355">
        <v>213142</v>
      </c>
      <c r="D7355">
        <v>11.3</v>
      </c>
    </row>
    <row r="7356" spans="1:4" x14ac:dyDescent="0.25">
      <c r="A7356" t="str">
        <f>T("   621040")</f>
        <v xml:space="preserve">   621040</v>
      </c>
      <c r="B7356" t="s">
        <v>294</v>
      </c>
      <c r="C7356">
        <v>15510</v>
      </c>
      <c r="D7356">
        <v>91</v>
      </c>
    </row>
    <row r="7357" spans="1:4" x14ac:dyDescent="0.25">
      <c r="A7357" t="str">
        <f>T("   621050")</f>
        <v xml:space="preserve">   621050</v>
      </c>
      <c r="B7357" t="s">
        <v>295</v>
      </c>
      <c r="C7357">
        <v>100000</v>
      </c>
      <c r="D7357">
        <v>64</v>
      </c>
    </row>
    <row r="7358" spans="1:4" x14ac:dyDescent="0.25">
      <c r="A7358" t="str">
        <f>T("   630510")</f>
        <v xml:space="preserve">   630510</v>
      </c>
      <c r="B7358" t="str">
        <f>T("   Sacs et sachets d'emballage de jute ou d'autres fibres textiles libériennes du n° 5303")</f>
        <v xml:space="preserve">   Sacs et sachets d'emballage de jute ou d'autres fibres textiles libériennes du n° 5303</v>
      </c>
      <c r="C7358">
        <v>100000</v>
      </c>
      <c r="D7358">
        <v>212</v>
      </c>
    </row>
    <row r="7359" spans="1:4" x14ac:dyDescent="0.25">
      <c r="A7359" t="str">
        <f>T("   630900")</f>
        <v xml:space="preserve">   630900</v>
      </c>
      <c r="B7359" t="s">
        <v>300</v>
      </c>
      <c r="C7359">
        <v>553785252</v>
      </c>
      <c r="D7359">
        <v>935743</v>
      </c>
    </row>
    <row r="7360" spans="1:4" x14ac:dyDescent="0.25">
      <c r="A7360" t="str">
        <f>T("   640319")</f>
        <v xml:space="preserve">   640319</v>
      </c>
      <c r="B7360" t="s">
        <v>306</v>
      </c>
      <c r="C7360">
        <v>100000</v>
      </c>
      <c r="D7360">
        <v>63</v>
      </c>
    </row>
    <row r="7361" spans="1:4" x14ac:dyDescent="0.25">
      <c r="A7361" t="str">
        <f>T("   640590")</f>
        <v xml:space="preserve">   640590</v>
      </c>
      <c r="B7361" t="s">
        <v>311</v>
      </c>
      <c r="C7361">
        <v>3800000</v>
      </c>
      <c r="D7361">
        <v>6000</v>
      </c>
    </row>
    <row r="7362" spans="1:4" x14ac:dyDescent="0.25">
      <c r="A7362" t="str">
        <f>T("   731815")</f>
        <v xml:space="preserve">   731815</v>
      </c>
      <c r="B7362" t="s">
        <v>380</v>
      </c>
      <c r="C7362">
        <v>81050</v>
      </c>
      <c r="D7362">
        <v>198</v>
      </c>
    </row>
    <row r="7363" spans="1:4" x14ac:dyDescent="0.25">
      <c r="A7363" t="str">
        <f>T("   830300")</f>
        <v xml:space="preserve">   830300</v>
      </c>
      <c r="B7363"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7363">
        <v>28717383</v>
      </c>
      <c r="D7363">
        <v>48081</v>
      </c>
    </row>
    <row r="7364" spans="1:4" x14ac:dyDescent="0.25">
      <c r="A7364" t="str">
        <f>T("   841510")</f>
        <v xml:space="preserve">   841510</v>
      </c>
      <c r="B7364" t="s">
        <v>422</v>
      </c>
      <c r="C7364">
        <v>3543492</v>
      </c>
      <c r="D7364">
        <v>3288</v>
      </c>
    </row>
    <row r="7365" spans="1:4" x14ac:dyDescent="0.25">
      <c r="A7365" t="str">
        <f>T("   841810")</f>
        <v xml:space="preserve">   841810</v>
      </c>
      <c r="B7365" t="str">
        <f>T("   Réfrigérateurs et congélateurs-conservateurs combinés, avec portes extérieures séparées")</f>
        <v xml:space="preserve">   Réfrigérateurs et congélateurs-conservateurs combinés, avec portes extérieures séparées</v>
      </c>
      <c r="C7365">
        <v>5381846</v>
      </c>
      <c r="D7365">
        <v>4768</v>
      </c>
    </row>
    <row r="7366" spans="1:4" x14ac:dyDescent="0.25">
      <c r="A7366" t="str">
        <f>T("   841829")</f>
        <v xml:space="preserve">   841829</v>
      </c>
      <c r="B7366" t="str">
        <f>T("   Réfrigérateurs ménagers à absorption, non-électriques")</f>
        <v xml:space="preserve">   Réfrigérateurs ménagers à absorption, non-électriques</v>
      </c>
      <c r="C7366">
        <v>16792968</v>
      </c>
      <c r="D7366">
        <v>23300</v>
      </c>
    </row>
    <row r="7367" spans="1:4" x14ac:dyDescent="0.25">
      <c r="A7367" t="str">
        <f>T("   847290")</f>
        <v xml:space="preserve">   847290</v>
      </c>
      <c r="B7367" t="str">
        <f>T("   Machines et appareils de bureau, n.d.a.")</f>
        <v xml:space="preserve">   Machines et appareils de bureau, n.d.a.</v>
      </c>
      <c r="C7367">
        <v>35000</v>
      </c>
      <c r="D7367">
        <v>38</v>
      </c>
    </row>
    <row r="7368" spans="1:4" x14ac:dyDescent="0.25">
      <c r="A7368" t="str">
        <f>T("   852190")</f>
        <v xml:space="preserve">   852190</v>
      </c>
      <c r="B7368" t="s">
        <v>487</v>
      </c>
      <c r="C7368">
        <v>136921</v>
      </c>
      <c r="D7368">
        <v>4</v>
      </c>
    </row>
    <row r="7369" spans="1:4" x14ac:dyDescent="0.25">
      <c r="A7369" t="str">
        <f>T("   852321")</f>
        <v xml:space="preserve">   852321</v>
      </c>
      <c r="B7369" t="str">
        <f>T("   CARTES MUNIES D'UNE PISTE MAGNÉTIQUE POUR L'ENREGISTREMENT DU SON OU POUR ENREGISTREMENTS ANALOGUES")</f>
        <v xml:space="preserve">   CARTES MUNIES D'UNE PISTE MAGNÉTIQUE POUR L'ENREGISTREMENT DU SON OU POUR ENREGISTREMENTS ANALOGUES</v>
      </c>
      <c r="C7369">
        <v>450000</v>
      </c>
      <c r="D7369">
        <v>116</v>
      </c>
    </row>
    <row r="7370" spans="1:4" x14ac:dyDescent="0.25">
      <c r="A7370" t="str">
        <f>T("   852799")</f>
        <v xml:space="preserve">   852799</v>
      </c>
      <c r="B7370"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7370">
        <v>3385693</v>
      </c>
      <c r="D7370">
        <v>588</v>
      </c>
    </row>
    <row r="7371" spans="1:4" x14ac:dyDescent="0.25">
      <c r="A7371" t="str">
        <f>T("   852830")</f>
        <v xml:space="preserve">   852830</v>
      </c>
      <c r="B7371" t="str">
        <f>T("   Projecteurs vidéo")</f>
        <v xml:space="preserve">   Projecteurs vidéo</v>
      </c>
      <c r="C7371">
        <v>2757642</v>
      </c>
      <c r="D7371">
        <v>62</v>
      </c>
    </row>
    <row r="7372" spans="1:4" x14ac:dyDescent="0.25">
      <c r="A7372" t="str">
        <f>T("   852869")</f>
        <v xml:space="preserve">   852869</v>
      </c>
      <c r="B7372"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7372">
        <v>1096765</v>
      </c>
      <c r="D7372">
        <v>580</v>
      </c>
    </row>
    <row r="7373" spans="1:4" x14ac:dyDescent="0.25">
      <c r="A7373" t="str">
        <f>T("   852910")</f>
        <v xml:space="preserve">   852910</v>
      </c>
      <c r="B7373"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373">
        <v>6127844</v>
      </c>
      <c r="D7373">
        <v>34494</v>
      </c>
    </row>
    <row r="7374" spans="1:4" x14ac:dyDescent="0.25">
      <c r="A7374" t="str">
        <f>T("   852990")</f>
        <v xml:space="preserve">   852990</v>
      </c>
      <c r="B7374" t="s">
        <v>496</v>
      </c>
      <c r="C7374">
        <v>419230</v>
      </c>
      <c r="D7374">
        <v>131</v>
      </c>
    </row>
    <row r="7375" spans="1:4" x14ac:dyDescent="0.25">
      <c r="A7375" t="str">
        <f>T("   870210")</f>
        <v xml:space="preserve">   870210</v>
      </c>
      <c r="B7375" t="s">
        <v>503</v>
      </c>
      <c r="C7375">
        <v>65603574</v>
      </c>
      <c r="D7375">
        <v>13561</v>
      </c>
    </row>
    <row r="7376" spans="1:4" x14ac:dyDescent="0.25">
      <c r="A7376" t="str">
        <f>T("   870322")</f>
        <v xml:space="preserve">   870322</v>
      </c>
      <c r="B7376" t="s">
        <v>506</v>
      </c>
      <c r="C7376">
        <v>243047641</v>
      </c>
      <c r="D7376">
        <v>40305</v>
      </c>
    </row>
    <row r="7377" spans="1:4" x14ac:dyDescent="0.25">
      <c r="A7377" t="str">
        <f>T("   870323")</f>
        <v xml:space="preserve">   870323</v>
      </c>
      <c r="B7377" t="s">
        <v>507</v>
      </c>
      <c r="C7377">
        <v>159090111</v>
      </c>
      <c r="D7377">
        <v>27470</v>
      </c>
    </row>
    <row r="7378" spans="1:4" x14ac:dyDescent="0.25">
      <c r="A7378" t="str">
        <f>T("   870829")</f>
        <v xml:space="preserve">   870829</v>
      </c>
      <c r="B7378" t="s">
        <v>519</v>
      </c>
      <c r="C7378">
        <v>274839</v>
      </c>
      <c r="D7378">
        <v>16.399999999999999</v>
      </c>
    </row>
    <row r="7379" spans="1:4" x14ac:dyDescent="0.25">
      <c r="A7379" t="str">
        <f>T("   870899")</f>
        <v xml:space="preserve">   870899</v>
      </c>
      <c r="B737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379">
        <v>27949987</v>
      </c>
      <c r="D7379">
        <v>2042.7</v>
      </c>
    </row>
    <row r="7380" spans="1:4" x14ac:dyDescent="0.25">
      <c r="A7380" t="str">
        <f>T("   871200")</f>
        <v xml:space="preserve">   871200</v>
      </c>
      <c r="B7380" t="str">
        <f>T("   BICYCLETTES ET AUTRES CYCLES, -Y.C. LES TRIPORTEURS-, SANS MOTEUR")</f>
        <v xml:space="preserve">   BICYCLETTES ET AUTRES CYCLES, -Y.C. LES TRIPORTEURS-, SANS MOTEUR</v>
      </c>
      <c r="C7380">
        <v>10000</v>
      </c>
      <c r="D7380">
        <v>20</v>
      </c>
    </row>
    <row r="7381" spans="1:4" x14ac:dyDescent="0.25">
      <c r="A7381" t="str">
        <f>T("   901812")</f>
        <v xml:space="preserve">   901812</v>
      </c>
      <c r="B7381" t="str">
        <f>T("   Appareils de diagnostic par balayage ultrasonique [scanners]")</f>
        <v xml:space="preserve">   Appareils de diagnostic par balayage ultrasonique [scanners]</v>
      </c>
      <c r="C7381">
        <v>20911702</v>
      </c>
      <c r="D7381">
        <v>202</v>
      </c>
    </row>
    <row r="7382" spans="1:4" x14ac:dyDescent="0.25">
      <c r="A7382" t="str">
        <f>T("   901890")</f>
        <v xml:space="preserve">   901890</v>
      </c>
      <c r="B7382" t="str">
        <f>T("   Instruments et appareils pour la médecine, la chirurgie ou l'art vétérinaire, n.d.a.")</f>
        <v xml:space="preserve">   Instruments et appareils pour la médecine, la chirurgie ou l'art vétérinaire, n.d.a.</v>
      </c>
      <c r="C7382">
        <v>1921726</v>
      </c>
      <c r="D7382">
        <v>20.6</v>
      </c>
    </row>
    <row r="7383" spans="1:4" x14ac:dyDescent="0.25">
      <c r="A7383" t="str">
        <f>T("   902780")</f>
        <v xml:space="preserve">   902780</v>
      </c>
      <c r="B738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7383">
        <v>336971</v>
      </c>
      <c r="D7383">
        <v>34</v>
      </c>
    </row>
    <row r="7384" spans="1:4" x14ac:dyDescent="0.25">
      <c r="A7384" t="str">
        <f>T("   902790")</f>
        <v xml:space="preserve">   902790</v>
      </c>
      <c r="B7384" t="s">
        <v>532</v>
      </c>
      <c r="C7384">
        <v>1118998</v>
      </c>
      <c r="D7384">
        <v>76</v>
      </c>
    </row>
    <row r="7385" spans="1:4" x14ac:dyDescent="0.25">
      <c r="A7385" t="str">
        <f>T("   940490")</f>
        <v xml:space="preserve">   940490</v>
      </c>
      <c r="B7385" t="s">
        <v>537</v>
      </c>
      <c r="C7385">
        <v>5813705</v>
      </c>
      <c r="D7385">
        <v>14552</v>
      </c>
    </row>
    <row r="7386" spans="1:4" x14ac:dyDescent="0.25">
      <c r="A7386" t="str">
        <f>T("   940560")</f>
        <v xml:space="preserve">   940560</v>
      </c>
      <c r="B7386"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7386">
        <v>1817320</v>
      </c>
      <c r="D7386">
        <v>3605</v>
      </c>
    </row>
    <row r="7387" spans="1:4" x14ac:dyDescent="0.25">
      <c r="A7387" t="str">
        <f>T("   950691")</f>
        <v xml:space="preserve">   950691</v>
      </c>
      <c r="B7387" t="str">
        <f>T("   Articles et matériel pour la culture physique, la gymnastique ou l'athlétisme")</f>
        <v xml:space="preserve">   Articles et matériel pour la culture physique, la gymnastique ou l'athlétisme</v>
      </c>
      <c r="C7387">
        <v>1879949</v>
      </c>
      <c r="D7387">
        <v>15</v>
      </c>
    </row>
    <row r="7388" spans="1:4" x14ac:dyDescent="0.25">
      <c r="A7388" t="str">
        <f>T("   960990")</f>
        <v xml:space="preserve">   960990</v>
      </c>
      <c r="B7388" t="str">
        <f>T("   Crayons (sauf crayons à gaine), pastels, fusains, craies à écrire ou à dessiner et craies de tailleurs")</f>
        <v xml:space="preserve">   Crayons (sauf crayons à gaine), pastels, fusains, craies à écrire ou à dessiner et craies de tailleurs</v>
      </c>
      <c r="C7388">
        <v>28119018</v>
      </c>
      <c r="D7388">
        <v>150942</v>
      </c>
    </row>
    <row r="7389" spans="1:4" x14ac:dyDescent="0.25">
      <c r="A7389" t="str">
        <f>T("   970300")</f>
        <v xml:space="preserve">   970300</v>
      </c>
      <c r="B7389" t="str">
        <f>T("   Productions originales de l'art statuaire ou de la sculpture, en toutes matières")</f>
        <v xml:space="preserve">   Productions originales de l'art statuaire ou de la sculpture, en toutes matières</v>
      </c>
      <c r="C7389">
        <v>338708</v>
      </c>
      <c r="D7389">
        <v>356</v>
      </c>
    </row>
    <row r="7390" spans="1:4" x14ac:dyDescent="0.25">
      <c r="A7390" t="str">
        <f>T("KW")</f>
        <v>KW</v>
      </c>
      <c r="B7390" t="str">
        <f>T("Koweit")</f>
        <v>Koweit</v>
      </c>
    </row>
    <row r="7391" spans="1:4" x14ac:dyDescent="0.25">
      <c r="A7391" t="str">
        <f>T("   ZZ_Total_Produit_SH6")</f>
        <v xml:space="preserve">   ZZ_Total_Produit_SH6</v>
      </c>
      <c r="B7391" t="str">
        <f>T("   ZZ_Total_Produit_SH6")</f>
        <v xml:space="preserve">   ZZ_Total_Produit_SH6</v>
      </c>
      <c r="C7391">
        <v>47308928.713</v>
      </c>
      <c r="D7391">
        <v>104639.4</v>
      </c>
    </row>
    <row r="7392" spans="1:4" x14ac:dyDescent="0.25">
      <c r="A7392" t="str">
        <f>T("   080410")</f>
        <v xml:space="preserve">   080410</v>
      </c>
      <c r="B7392" t="str">
        <f>T("   Dattes, fraîches ou sèches")</f>
        <v xml:space="preserve">   Dattes, fraîches ou sèches</v>
      </c>
      <c r="C7392">
        <v>239785</v>
      </c>
      <c r="D7392">
        <v>2500</v>
      </c>
    </row>
    <row r="7393" spans="1:4" x14ac:dyDescent="0.25">
      <c r="A7393" t="str">
        <f>T("   100620")</f>
        <v xml:space="preserve">   100620</v>
      </c>
      <c r="B7393" t="str">
        <f>T("   Riz décortiqué [riz cargo ou riz brun]")</f>
        <v xml:space="preserve">   Riz décortiqué [riz cargo ou riz brun]</v>
      </c>
      <c r="C7393">
        <v>2007381.713</v>
      </c>
      <c r="D7393">
        <v>4550</v>
      </c>
    </row>
    <row r="7394" spans="1:4" x14ac:dyDescent="0.25">
      <c r="A7394" t="str">
        <f>T("   330300")</f>
        <v xml:space="preserve">   330300</v>
      </c>
      <c r="B739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7394">
        <v>18000</v>
      </c>
      <c r="D7394">
        <v>13</v>
      </c>
    </row>
    <row r="7395" spans="1:4" x14ac:dyDescent="0.25">
      <c r="A7395" t="str">
        <f>T("   392329")</f>
        <v xml:space="preserve">   392329</v>
      </c>
      <c r="B7395" t="str">
        <f>T("   Sacs, sachets, pochettes et cornets, en matières plastiques (autres que les polymères de l'éthylène)")</f>
        <v xml:space="preserve">   Sacs, sachets, pochettes et cornets, en matières plastiques (autres que les polymères de l'éthylène)</v>
      </c>
      <c r="C7395">
        <v>356544</v>
      </c>
      <c r="D7395">
        <v>3</v>
      </c>
    </row>
    <row r="7396" spans="1:4" x14ac:dyDescent="0.25">
      <c r="A7396" t="str">
        <f>T("   392490")</f>
        <v xml:space="preserve">   392490</v>
      </c>
      <c r="B7396" t="s">
        <v>157</v>
      </c>
      <c r="C7396">
        <v>300000</v>
      </c>
      <c r="D7396">
        <v>3500</v>
      </c>
    </row>
    <row r="7397" spans="1:4" x14ac:dyDescent="0.25">
      <c r="A7397" t="str">
        <f>T("   401519")</f>
        <v xml:space="preserve">   401519</v>
      </c>
      <c r="B7397" t="str">
        <f>T("   GANTS, MITAINES ET MOUFLES, EN CAOUTCHOUC VULCANISÉ NON-DURCI (À L'EXCL. DES GANTS POUR LA CHIRURGIE)")</f>
        <v xml:space="preserve">   GANTS, MITAINES ET MOUFLES, EN CAOUTCHOUC VULCANISÉ NON-DURCI (À L'EXCL. DES GANTS POUR LA CHIRURGIE)</v>
      </c>
      <c r="C7397">
        <v>100000</v>
      </c>
      <c r="D7397">
        <v>80</v>
      </c>
    </row>
    <row r="7398" spans="1:4" x14ac:dyDescent="0.25">
      <c r="A7398" t="str">
        <f>T("   482090")</f>
        <v xml:space="preserve">   482090</v>
      </c>
      <c r="B7398" t="s">
        <v>234</v>
      </c>
      <c r="C7398">
        <v>594408</v>
      </c>
      <c r="D7398">
        <v>3500</v>
      </c>
    </row>
    <row r="7399" spans="1:4" x14ac:dyDescent="0.25">
      <c r="A7399" t="str">
        <f>T("   490199")</f>
        <v xml:space="preserve">   490199</v>
      </c>
      <c r="B739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399">
        <v>327980</v>
      </c>
      <c r="D7399">
        <v>1000</v>
      </c>
    </row>
    <row r="7400" spans="1:4" x14ac:dyDescent="0.25">
      <c r="A7400" t="str">
        <f>T("   611490")</f>
        <v xml:space="preserve">   611490</v>
      </c>
      <c r="B7400"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400">
        <v>500000</v>
      </c>
      <c r="D7400">
        <v>1980</v>
      </c>
    </row>
    <row r="7401" spans="1:4" x14ac:dyDescent="0.25">
      <c r="A7401" t="str">
        <f>T("   620590")</f>
        <v xml:space="preserve">   620590</v>
      </c>
      <c r="B74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401">
        <v>700000</v>
      </c>
      <c r="D7401">
        <v>1000</v>
      </c>
    </row>
    <row r="7402" spans="1:4" x14ac:dyDescent="0.25">
      <c r="A7402" t="str">
        <f>T("   630900")</f>
        <v xml:space="preserve">   630900</v>
      </c>
      <c r="B7402" t="s">
        <v>300</v>
      </c>
      <c r="C7402">
        <v>3136030</v>
      </c>
      <c r="D7402">
        <v>14000</v>
      </c>
    </row>
    <row r="7403" spans="1:4" x14ac:dyDescent="0.25">
      <c r="A7403" t="str">
        <f>T("   660200")</f>
        <v xml:space="preserve">   660200</v>
      </c>
      <c r="B7403" t="str">
        <f>T("   Cannes, cannes-sièges, fouets, cravaches et articles simil. (sauf cannes-mesures, béquilles, cannes ayant le caractère d'armes et cannes de sport)")</f>
        <v xml:space="preserve">   Cannes, cannes-sièges, fouets, cravaches et articles simil. (sauf cannes-mesures, béquilles, cannes ayant le caractère d'armes et cannes de sport)</v>
      </c>
      <c r="C7403">
        <v>327980</v>
      </c>
      <c r="D7403">
        <v>1570</v>
      </c>
    </row>
    <row r="7404" spans="1:4" x14ac:dyDescent="0.25">
      <c r="A7404" t="str">
        <f>T("   732394")</f>
        <v xml:space="preserve">   732394</v>
      </c>
      <c r="B7404" t="s">
        <v>389</v>
      </c>
      <c r="C7404">
        <v>300000</v>
      </c>
      <c r="D7404">
        <v>700</v>
      </c>
    </row>
    <row r="7405" spans="1:4" x14ac:dyDescent="0.25">
      <c r="A7405" t="str">
        <f>T("   732399")</f>
        <v xml:space="preserve">   732399</v>
      </c>
      <c r="B7405" t="s">
        <v>390</v>
      </c>
      <c r="C7405">
        <v>7750863</v>
      </c>
      <c r="D7405">
        <v>12163</v>
      </c>
    </row>
    <row r="7406" spans="1:4" x14ac:dyDescent="0.25">
      <c r="A7406" t="str">
        <f>T("   841829")</f>
        <v xml:space="preserve">   841829</v>
      </c>
      <c r="B7406" t="str">
        <f>T("   Réfrigérateurs ménagers à absorption, non-électriques")</f>
        <v xml:space="preserve">   Réfrigérateurs ménagers à absorption, non-électriques</v>
      </c>
      <c r="C7406">
        <v>624768</v>
      </c>
      <c r="D7406">
        <v>6550</v>
      </c>
    </row>
    <row r="7407" spans="1:4" x14ac:dyDescent="0.25">
      <c r="A7407" t="str">
        <f>T("   842139")</f>
        <v xml:space="preserve">   842139</v>
      </c>
      <c r="B740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407">
        <v>1292149</v>
      </c>
      <c r="D7407">
        <v>0.4</v>
      </c>
    </row>
    <row r="7408" spans="1:4" x14ac:dyDescent="0.25">
      <c r="A7408" t="str">
        <f>T("   870323")</f>
        <v xml:space="preserve">   870323</v>
      </c>
      <c r="B7408" t="s">
        <v>507</v>
      </c>
      <c r="C7408">
        <v>13112575</v>
      </c>
      <c r="D7408">
        <v>1500</v>
      </c>
    </row>
    <row r="7409" spans="1:4" x14ac:dyDescent="0.25">
      <c r="A7409" t="str">
        <f>T("   870324")</f>
        <v xml:space="preserve">   870324</v>
      </c>
      <c r="B7409" t="s">
        <v>508</v>
      </c>
      <c r="C7409">
        <v>4332776</v>
      </c>
      <c r="D7409">
        <v>1800</v>
      </c>
    </row>
    <row r="7410" spans="1:4" x14ac:dyDescent="0.25">
      <c r="A7410" t="str">
        <f>T("   900490")</f>
        <v xml:space="preserve">   900490</v>
      </c>
      <c r="B7410"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410">
        <v>524768</v>
      </c>
      <c r="D7410">
        <v>1000</v>
      </c>
    </row>
    <row r="7411" spans="1:4" x14ac:dyDescent="0.25">
      <c r="A7411" t="str">
        <f>T("   940350")</f>
        <v xml:space="preserve">   940350</v>
      </c>
      <c r="B7411" t="str">
        <f>T("   Meubles pour chambres à coucher, en bois (sauf sièges)")</f>
        <v xml:space="preserve">   Meubles pour chambres à coucher, en bois (sauf sièges)</v>
      </c>
      <c r="C7411">
        <v>1500000</v>
      </c>
      <c r="D7411">
        <v>2300</v>
      </c>
    </row>
    <row r="7412" spans="1:4" x14ac:dyDescent="0.25">
      <c r="A7412" t="str">
        <f>T("   940360")</f>
        <v xml:space="preserve">   940360</v>
      </c>
      <c r="B7412" t="str">
        <f>T("   Meubles en bois (autres que pour bureaux, cuisines ou chambres à coucher et autres que sièges)")</f>
        <v xml:space="preserve">   Meubles en bois (autres que pour bureaux, cuisines ou chambres à coucher et autres que sièges)</v>
      </c>
      <c r="C7412">
        <v>7477944</v>
      </c>
      <c r="D7412">
        <v>32930</v>
      </c>
    </row>
    <row r="7413" spans="1:4" x14ac:dyDescent="0.25">
      <c r="A7413" t="str">
        <f>T("   940370")</f>
        <v xml:space="preserve">   940370</v>
      </c>
      <c r="B7413"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413">
        <v>372641</v>
      </c>
      <c r="D7413">
        <v>5000</v>
      </c>
    </row>
    <row r="7414" spans="1:4" x14ac:dyDescent="0.25">
      <c r="A7414" t="str">
        <f>T("   950410")</f>
        <v xml:space="preserve">   950410</v>
      </c>
      <c r="B7414" t="str">
        <f>T("   Jeux vidéo des types utilisables avec un récepteur de télévision")</f>
        <v xml:space="preserve">   Jeux vidéo des types utilisables avec un récepteur de télévision</v>
      </c>
      <c r="C7414">
        <v>461194</v>
      </c>
      <c r="D7414">
        <v>3000</v>
      </c>
    </row>
    <row r="7415" spans="1:4" x14ac:dyDescent="0.25">
      <c r="A7415" t="str">
        <f>T("   950699")</f>
        <v xml:space="preserve">   950699</v>
      </c>
      <c r="B7415" t="str">
        <f>T("   Articles et matériel pour le sport et les jeux de plein air, n.d.a.; piscines et pataugeoires")</f>
        <v xml:space="preserve">   Articles et matériel pour le sport et les jeux de plein air, n.d.a.; piscines et pataugeoires</v>
      </c>
      <c r="C7415">
        <v>951142</v>
      </c>
      <c r="D7415">
        <v>4000</v>
      </c>
    </row>
    <row r="7416" spans="1:4" x14ac:dyDescent="0.25">
      <c r="A7416" t="str">
        <f>T("KY")</f>
        <v>KY</v>
      </c>
      <c r="B7416" t="str">
        <f>T("Caïmans, îles")</f>
        <v>Caïmans, îles</v>
      </c>
    </row>
    <row r="7417" spans="1:4" x14ac:dyDescent="0.25">
      <c r="A7417" t="str">
        <f>T("   ZZ_Total_Produit_SH6")</f>
        <v xml:space="preserve">   ZZ_Total_Produit_SH6</v>
      </c>
      <c r="B7417" t="str">
        <f>T("   ZZ_Total_Produit_SH6")</f>
        <v xml:space="preserve">   ZZ_Total_Produit_SH6</v>
      </c>
      <c r="C7417">
        <v>238763</v>
      </c>
      <c r="D7417">
        <v>38</v>
      </c>
    </row>
    <row r="7418" spans="1:4" x14ac:dyDescent="0.25">
      <c r="A7418" t="str">
        <f>T("   490199")</f>
        <v xml:space="preserve">   490199</v>
      </c>
      <c r="B74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418">
        <v>100000</v>
      </c>
      <c r="D7418">
        <v>36</v>
      </c>
    </row>
    <row r="7419" spans="1:4" x14ac:dyDescent="0.25">
      <c r="A7419" t="str">
        <f>T("   851769")</f>
        <v xml:space="preserve">   851769</v>
      </c>
      <c r="B7419" t="s">
        <v>481</v>
      </c>
      <c r="C7419">
        <v>138763</v>
      </c>
      <c r="D7419">
        <v>2</v>
      </c>
    </row>
    <row r="7420" spans="1:4" x14ac:dyDescent="0.25">
      <c r="A7420" t="str">
        <f>T("LA")</f>
        <v>LA</v>
      </c>
      <c r="B7420" t="str">
        <f>T("Lao, Rép. Démocratique Populaire")</f>
        <v>Lao, Rép. Démocratique Populaire</v>
      </c>
    </row>
    <row r="7421" spans="1:4" x14ac:dyDescent="0.25">
      <c r="A7421" t="str">
        <f>T("   ZZ_Total_Produit_SH6")</f>
        <v xml:space="preserve">   ZZ_Total_Produit_SH6</v>
      </c>
      <c r="B7421" t="str">
        <f>T("   ZZ_Total_Produit_SH6")</f>
        <v xml:space="preserve">   ZZ_Total_Produit_SH6</v>
      </c>
      <c r="C7421">
        <v>2289300</v>
      </c>
      <c r="D7421">
        <v>120</v>
      </c>
    </row>
    <row r="7422" spans="1:4" x14ac:dyDescent="0.25">
      <c r="A7422" t="str">
        <f>T("   382200")</f>
        <v xml:space="preserve">   382200</v>
      </c>
      <c r="B7422" t="s">
        <v>133</v>
      </c>
      <c r="C7422">
        <v>2289300</v>
      </c>
      <c r="D7422">
        <v>120</v>
      </c>
    </row>
    <row r="7423" spans="1:4" x14ac:dyDescent="0.25">
      <c r="A7423" t="str">
        <f>T("LB")</f>
        <v>LB</v>
      </c>
      <c r="B7423" t="str">
        <f>T("Liban")</f>
        <v>Liban</v>
      </c>
    </row>
    <row r="7424" spans="1:4" x14ac:dyDescent="0.25">
      <c r="A7424" t="str">
        <f>T("   ZZ_Total_Produit_SH6")</f>
        <v xml:space="preserve">   ZZ_Total_Produit_SH6</v>
      </c>
      <c r="B7424" t="str">
        <f>T("   ZZ_Total_Produit_SH6")</f>
        <v xml:space="preserve">   ZZ_Total_Produit_SH6</v>
      </c>
      <c r="C7424">
        <v>2555123497.5</v>
      </c>
      <c r="D7424">
        <v>4618473.7300000004</v>
      </c>
    </row>
    <row r="7425" spans="1:4" x14ac:dyDescent="0.25">
      <c r="A7425" t="str">
        <f>T("   040390")</f>
        <v xml:space="preserve">   040390</v>
      </c>
      <c r="B7425"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7425">
        <v>1338097</v>
      </c>
      <c r="D7425">
        <v>3660</v>
      </c>
    </row>
    <row r="7426" spans="1:4" x14ac:dyDescent="0.25">
      <c r="A7426" t="str">
        <f>T("   040630")</f>
        <v xml:space="preserve">   040630</v>
      </c>
      <c r="B7426" t="str">
        <f>T("   Fromages fondus (à l'excl. des fromages râpés ou en poudre)")</f>
        <v xml:space="preserve">   Fromages fondus (à l'excl. des fromages râpés ou en poudre)</v>
      </c>
      <c r="C7426">
        <v>681122</v>
      </c>
      <c r="D7426">
        <v>825</v>
      </c>
    </row>
    <row r="7427" spans="1:4" x14ac:dyDescent="0.25">
      <c r="A7427" t="str">
        <f>T("   040690")</f>
        <v xml:space="preserve">   040690</v>
      </c>
      <c r="B7427" t="s">
        <v>19</v>
      </c>
      <c r="C7427">
        <v>2407069</v>
      </c>
      <c r="D7427">
        <v>4037</v>
      </c>
    </row>
    <row r="7428" spans="1:4" x14ac:dyDescent="0.25">
      <c r="A7428" t="str">
        <f>T("   070190")</f>
        <v xml:space="preserve">   070190</v>
      </c>
      <c r="B7428" t="str">
        <f>T("   Pommes de terre, à l'état frais ou réfrigéré (à l'excl. des pommes de terre de semence)")</f>
        <v xml:space="preserve">   Pommes de terre, à l'état frais ou réfrigéré (à l'excl. des pommes de terre de semence)</v>
      </c>
      <c r="C7428">
        <v>5858366</v>
      </c>
      <c r="D7428">
        <v>14180</v>
      </c>
    </row>
    <row r="7429" spans="1:4" x14ac:dyDescent="0.25">
      <c r="A7429" t="str">
        <f>T("   071120")</f>
        <v xml:space="preserve">   071120</v>
      </c>
      <c r="B7429"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7429">
        <v>5461774</v>
      </c>
      <c r="D7429">
        <v>14947</v>
      </c>
    </row>
    <row r="7430" spans="1:4" x14ac:dyDescent="0.25">
      <c r="A7430" t="str">
        <f>T("   071290")</f>
        <v xml:space="preserve">   071290</v>
      </c>
      <c r="B7430"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7430">
        <v>6220439</v>
      </c>
      <c r="D7430">
        <v>7490</v>
      </c>
    </row>
    <row r="7431" spans="1:4" x14ac:dyDescent="0.25">
      <c r="A7431" t="str">
        <f>T("   071320")</f>
        <v xml:space="preserve">   071320</v>
      </c>
      <c r="B7431" t="str">
        <f>T("   Pois chiches, secs, écossés, même décortiqués ou cassés")</f>
        <v xml:space="preserve">   Pois chiches, secs, écossés, même décortiqués ou cassés</v>
      </c>
      <c r="C7431">
        <v>300000</v>
      </c>
      <c r="D7431">
        <v>620</v>
      </c>
    </row>
    <row r="7432" spans="1:4" x14ac:dyDescent="0.25">
      <c r="A7432" t="str">
        <f>T("   071339")</f>
        <v xml:space="preserve">   071339</v>
      </c>
      <c r="B7432"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432">
        <v>528114</v>
      </c>
      <c r="D7432">
        <v>802</v>
      </c>
    </row>
    <row r="7433" spans="1:4" x14ac:dyDescent="0.25">
      <c r="A7433" t="str">
        <f>T("   071340")</f>
        <v xml:space="preserve">   071340</v>
      </c>
      <c r="B7433" t="str">
        <f>T("   Lentilles, séchées, écossées, même décortiquées ou cassées")</f>
        <v xml:space="preserve">   Lentilles, séchées, écossées, même décortiquées ou cassées</v>
      </c>
      <c r="C7433">
        <v>17068865</v>
      </c>
      <c r="D7433">
        <v>31060</v>
      </c>
    </row>
    <row r="7434" spans="1:4" x14ac:dyDescent="0.25">
      <c r="A7434" t="str">
        <f>T("   071390")</f>
        <v xml:space="preserve">   071390</v>
      </c>
      <c r="B7434"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7434">
        <v>4678326</v>
      </c>
      <c r="D7434">
        <v>13585</v>
      </c>
    </row>
    <row r="7435" spans="1:4" x14ac:dyDescent="0.25">
      <c r="A7435" t="str">
        <f>T("   080410")</f>
        <v xml:space="preserve">   080410</v>
      </c>
      <c r="B7435" t="str">
        <f>T("   Dattes, fraîches ou sèches")</f>
        <v xml:space="preserve">   Dattes, fraîches ou sèches</v>
      </c>
      <c r="C7435">
        <v>168825</v>
      </c>
      <c r="D7435">
        <v>312</v>
      </c>
    </row>
    <row r="7436" spans="1:4" x14ac:dyDescent="0.25">
      <c r="A7436" t="str">
        <f>T("   080450")</f>
        <v xml:space="preserve">   080450</v>
      </c>
      <c r="B7436" t="str">
        <f>T("   Goyaves, mangues et mangoustans, frais ou secs")</f>
        <v xml:space="preserve">   Goyaves, mangues et mangoustans, frais ou secs</v>
      </c>
      <c r="C7436">
        <v>717348</v>
      </c>
      <c r="D7436">
        <v>1192</v>
      </c>
    </row>
    <row r="7437" spans="1:4" x14ac:dyDescent="0.25">
      <c r="A7437" t="str">
        <f>T("   080550")</f>
        <v xml:space="preserve">   080550</v>
      </c>
      <c r="B7437" t="s">
        <v>23</v>
      </c>
      <c r="C7437">
        <v>269625</v>
      </c>
      <c r="D7437">
        <v>999</v>
      </c>
    </row>
    <row r="7438" spans="1:4" x14ac:dyDescent="0.25">
      <c r="A7438" t="str">
        <f>T("   081290")</f>
        <v xml:space="preserve">   081290</v>
      </c>
      <c r="B7438" t="str">
        <f>T("   Fruits conservés provisoirement [p.ex. au moyen de gaz sulfureux ou dans l'eau salée, soufrée ou additionnée d'autres substances servant à assurer provisoirement leur conservation], mais impropres à l'alimentation en l'état (à l'excl. des cerises)")</f>
        <v xml:space="preserve">   Fruits conservés provisoirement [p.ex. au moyen de gaz sulfureux ou dans l'eau salée, soufrée ou additionnée d'autres substances servant à assurer provisoirement leur conservation], mais impropres à l'alimentation en l'état (à l'excl. des cerises)</v>
      </c>
      <c r="C7438">
        <v>1560646</v>
      </c>
      <c r="D7438">
        <v>6188</v>
      </c>
    </row>
    <row r="7439" spans="1:4" x14ac:dyDescent="0.25">
      <c r="A7439" t="str">
        <f>T("   090111")</f>
        <v xml:space="preserve">   090111</v>
      </c>
      <c r="B7439" t="str">
        <f>T("   Café, non torréfié, non décaféiné")</f>
        <v xml:space="preserve">   Café, non torréfié, non décaféiné</v>
      </c>
      <c r="C7439">
        <v>1586313</v>
      </c>
      <c r="D7439">
        <v>3167</v>
      </c>
    </row>
    <row r="7440" spans="1:4" x14ac:dyDescent="0.25">
      <c r="A7440" t="str">
        <f>T("   090190")</f>
        <v xml:space="preserve">   090190</v>
      </c>
      <c r="B7440" t="str">
        <f>T("   Coques et pellicules de café; succédanés du café contenant du café, quelles que soient les proportions du mélange")</f>
        <v xml:space="preserve">   Coques et pellicules de café; succédanés du café contenant du café, quelles que soient les proportions du mélange</v>
      </c>
      <c r="C7440">
        <v>1342885</v>
      </c>
      <c r="D7440">
        <v>1744</v>
      </c>
    </row>
    <row r="7441" spans="1:4" x14ac:dyDescent="0.25">
      <c r="A7441" t="str">
        <f>T("   090220")</f>
        <v xml:space="preserve">   090220</v>
      </c>
      <c r="B7441" t="str">
        <f>T("   Thé vert [thé non fermenté], présenté en emballages immédiats d'un contenu &gt; 3 kg")</f>
        <v xml:space="preserve">   Thé vert [thé non fermenté], présenté en emballages immédiats d'un contenu &gt; 3 kg</v>
      </c>
      <c r="C7441">
        <v>1196603</v>
      </c>
      <c r="D7441">
        <v>1105</v>
      </c>
    </row>
    <row r="7442" spans="1:4" x14ac:dyDescent="0.25">
      <c r="A7442" t="str">
        <f>T("   090230")</f>
        <v xml:space="preserve">   090230</v>
      </c>
      <c r="B7442" t="s">
        <v>27</v>
      </c>
      <c r="C7442">
        <v>484558</v>
      </c>
      <c r="D7442">
        <v>360</v>
      </c>
    </row>
    <row r="7443" spans="1:4" x14ac:dyDescent="0.25">
      <c r="A7443" t="str">
        <f>T("   090412")</f>
        <v xml:space="preserve">   090412</v>
      </c>
      <c r="B7443" t="str">
        <f>T("   Poivre du genre 'Piper', broyé ou pulvérisé")</f>
        <v xml:space="preserve">   Poivre du genre 'Piper', broyé ou pulvérisé</v>
      </c>
      <c r="C7443">
        <v>302721</v>
      </c>
      <c r="D7443">
        <v>35</v>
      </c>
    </row>
    <row r="7444" spans="1:4" x14ac:dyDescent="0.25">
      <c r="A7444" t="str">
        <f>T("   090420")</f>
        <v xml:space="preserve">   090420</v>
      </c>
      <c r="B7444" t="str">
        <f>T("   Piments du genre 'Capsicum' ou du genre 'Pimenta', séchés ou broyés ou pulvérisés")</f>
        <v xml:space="preserve">   Piments du genre 'Capsicum' ou du genre 'Pimenta', séchés ou broyés ou pulvérisés</v>
      </c>
      <c r="C7444">
        <v>510343</v>
      </c>
      <c r="D7444">
        <v>520</v>
      </c>
    </row>
    <row r="7445" spans="1:4" x14ac:dyDescent="0.25">
      <c r="A7445" t="str">
        <f>T("   091099")</f>
        <v xml:space="preserve">   091099</v>
      </c>
      <c r="B7445" t="s">
        <v>29</v>
      </c>
      <c r="C7445">
        <v>5975600</v>
      </c>
      <c r="D7445">
        <v>10398</v>
      </c>
    </row>
    <row r="7446" spans="1:4" x14ac:dyDescent="0.25">
      <c r="A7446" t="str">
        <f>T("   100630")</f>
        <v xml:space="preserve">   100630</v>
      </c>
      <c r="B7446" t="str">
        <f>T("   Riz semi-blanchi ou blanchi, même poli ou glacé")</f>
        <v xml:space="preserve">   Riz semi-blanchi ou blanchi, même poli ou glacé</v>
      </c>
      <c r="C7446">
        <v>31497</v>
      </c>
      <c r="D7446">
        <v>87</v>
      </c>
    </row>
    <row r="7447" spans="1:4" x14ac:dyDescent="0.25">
      <c r="A7447" t="str">
        <f>T("   100890")</f>
        <v xml:space="preserve">   100890</v>
      </c>
      <c r="B7447"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7447">
        <v>646355</v>
      </c>
      <c r="D7447">
        <v>4340</v>
      </c>
    </row>
    <row r="7448" spans="1:4" x14ac:dyDescent="0.25">
      <c r="A7448" t="str">
        <f>T("   120890")</f>
        <v xml:space="preserve">   120890</v>
      </c>
      <c r="B7448" t="str">
        <f>T("   Farines de graines ou de fruits oléagineux (à l'excl. des farines de moutarde et de fèves de soja)")</f>
        <v xml:space="preserve">   Farines de graines ou de fruits oléagineux (à l'excl. des farines de moutarde et de fèves de soja)</v>
      </c>
      <c r="C7448">
        <v>2823153</v>
      </c>
      <c r="D7448">
        <v>2458</v>
      </c>
    </row>
    <row r="7449" spans="1:4" x14ac:dyDescent="0.25">
      <c r="A7449" t="str">
        <f>T("   150910")</f>
        <v xml:space="preserve">   150910</v>
      </c>
      <c r="B7449"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7449">
        <v>5820085</v>
      </c>
      <c r="D7449">
        <v>9537</v>
      </c>
    </row>
    <row r="7450" spans="1:4" x14ac:dyDescent="0.25">
      <c r="A7450" t="str">
        <f>T("   150990")</f>
        <v xml:space="preserve">   150990</v>
      </c>
      <c r="B7450"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7450">
        <v>9939901</v>
      </c>
      <c r="D7450">
        <v>12756</v>
      </c>
    </row>
    <row r="7451" spans="1:4" x14ac:dyDescent="0.25">
      <c r="A7451" t="str">
        <f>T("   151190")</f>
        <v xml:space="preserve">   151190</v>
      </c>
      <c r="B7451" t="str">
        <f>T("   Huile de palme et ses fractions, même raffinées, mais non chimiquement modifiées (à l'excl. de l'huile de palme brute)")</f>
        <v xml:space="preserve">   Huile de palme et ses fractions, même raffinées, mais non chimiquement modifiées (à l'excl. de l'huile de palme brute)</v>
      </c>
      <c r="C7451">
        <v>89510.115000000005</v>
      </c>
      <c r="D7451">
        <v>234</v>
      </c>
    </row>
    <row r="7452" spans="1:4" x14ac:dyDescent="0.25">
      <c r="A7452" t="str">
        <f>T("   160239")</f>
        <v xml:space="preserve">   160239</v>
      </c>
      <c r="B7452" t="s">
        <v>41</v>
      </c>
      <c r="C7452">
        <v>500000</v>
      </c>
      <c r="D7452">
        <v>200</v>
      </c>
    </row>
    <row r="7453" spans="1:4" x14ac:dyDescent="0.25">
      <c r="A7453" t="str">
        <f>T("   160414")</f>
        <v xml:space="preserve">   160414</v>
      </c>
      <c r="B7453"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453">
        <v>427883</v>
      </c>
      <c r="D7453">
        <v>478</v>
      </c>
    </row>
    <row r="7454" spans="1:4" x14ac:dyDescent="0.25">
      <c r="A7454" t="str">
        <f>T("   170191")</f>
        <v xml:space="preserve">   170191</v>
      </c>
      <c r="B7454" t="str">
        <f>T("   Sucres de canne ou de betterave, à l'état solide, additionnés d'aromatisants ou de colorants")</f>
        <v xml:space="preserve">   Sucres de canne ou de betterave, à l'état solide, additionnés d'aromatisants ou de colorants</v>
      </c>
      <c r="C7454">
        <v>669462.38500000001</v>
      </c>
      <c r="D7454">
        <v>1606</v>
      </c>
    </row>
    <row r="7455" spans="1:4" x14ac:dyDescent="0.25">
      <c r="A7455" t="str">
        <f>T("   170490")</f>
        <v xml:space="preserve">   170490</v>
      </c>
      <c r="B7455" t="str">
        <f>T("   Sucreries sans cacao, y.c. le chocolat blanc (à l'excl. des gommes à mâcher)")</f>
        <v xml:space="preserve">   Sucreries sans cacao, y.c. le chocolat blanc (à l'excl. des gommes à mâcher)</v>
      </c>
      <c r="C7455">
        <v>157593781</v>
      </c>
      <c r="D7455">
        <v>511728.5</v>
      </c>
    </row>
    <row r="7456" spans="1:4" x14ac:dyDescent="0.25">
      <c r="A7456" t="str">
        <f>T("   180610")</f>
        <v xml:space="preserve">   180610</v>
      </c>
      <c r="B7456" t="str">
        <f>T("   Poudre de cacao, additionnée de sucre ou d'autres édulcorants")</f>
        <v xml:space="preserve">   Poudre de cacao, additionnée de sucre ou d'autres édulcorants</v>
      </c>
      <c r="C7456">
        <v>238187</v>
      </c>
      <c r="D7456">
        <v>1147</v>
      </c>
    </row>
    <row r="7457" spans="1:4" x14ac:dyDescent="0.25">
      <c r="A7457" t="str">
        <f>T("   180620")</f>
        <v xml:space="preserve">   180620</v>
      </c>
      <c r="B7457" t="s">
        <v>47</v>
      </c>
      <c r="C7457">
        <v>771229</v>
      </c>
      <c r="D7457">
        <v>2024</v>
      </c>
    </row>
    <row r="7458" spans="1:4" x14ac:dyDescent="0.25">
      <c r="A7458" t="str">
        <f>T("   180631")</f>
        <v xml:space="preserve">   180631</v>
      </c>
      <c r="B745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7458">
        <v>51330</v>
      </c>
      <c r="D7458">
        <v>98</v>
      </c>
    </row>
    <row r="7459" spans="1:4" x14ac:dyDescent="0.25">
      <c r="A7459" t="str">
        <f>T("   180690")</f>
        <v xml:space="preserve">   180690</v>
      </c>
      <c r="B745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7459">
        <v>2044859</v>
      </c>
      <c r="D7459">
        <v>2480</v>
      </c>
    </row>
    <row r="7460" spans="1:4" x14ac:dyDescent="0.25">
      <c r="A7460" t="str">
        <f>T("   190190")</f>
        <v xml:space="preserve">   190190</v>
      </c>
      <c r="B7460" t="s">
        <v>50</v>
      </c>
      <c r="C7460">
        <v>9750000</v>
      </c>
      <c r="D7460">
        <v>37048</v>
      </c>
    </row>
    <row r="7461" spans="1:4" x14ac:dyDescent="0.25">
      <c r="A7461" t="str">
        <f>T("   190219")</f>
        <v xml:space="preserve">   190219</v>
      </c>
      <c r="B7461" t="str">
        <f>T("   PÂTES ALIMENTAIRES NON-CUITES NI FARCIES NI AUTREMENT PRÉPARÉES, NE CONTENANT PAS D'OEUFS")</f>
        <v xml:space="preserve">   PÂTES ALIMENTAIRES NON-CUITES NI FARCIES NI AUTREMENT PRÉPARÉES, NE CONTENANT PAS D'OEUFS</v>
      </c>
      <c r="C7461">
        <v>1155847</v>
      </c>
      <c r="D7461">
        <v>2151</v>
      </c>
    </row>
    <row r="7462" spans="1:4" x14ac:dyDescent="0.25">
      <c r="A7462" t="str">
        <f>T("   190220")</f>
        <v xml:space="preserve">   190220</v>
      </c>
      <c r="B7462" t="str">
        <f>T("   Pâtes alimentaires, farcies de viande ou d'autres substances, même cuites ou autrement préparées")</f>
        <v xml:space="preserve">   Pâtes alimentaires, farcies de viande ou d'autres substances, même cuites ou autrement préparées</v>
      </c>
      <c r="C7462">
        <v>12968329</v>
      </c>
      <c r="D7462">
        <v>102600</v>
      </c>
    </row>
    <row r="7463" spans="1:4" x14ac:dyDescent="0.25">
      <c r="A7463" t="str">
        <f>T("   190531")</f>
        <v xml:space="preserve">   190531</v>
      </c>
      <c r="B7463" t="str">
        <f>T("   Biscuits additionnés d'édulcorants")</f>
        <v xml:space="preserve">   Biscuits additionnés d'édulcorants</v>
      </c>
      <c r="C7463">
        <v>109841611</v>
      </c>
      <c r="D7463">
        <v>344758</v>
      </c>
    </row>
    <row r="7464" spans="1:4" x14ac:dyDescent="0.25">
      <c r="A7464" t="str">
        <f>T("   190540")</f>
        <v xml:space="preserve">   190540</v>
      </c>
      <c r="B7464" t="str">
        <f>T("   Biscottes, pain grillé et produits simil. grillés")</f>
        <v xml:space="preserve">   Biscottes, pain grillé et produits simil. grillés</v>
      </c>
      <c r="C7464">
        <v>852036</v>
      </c>
      <c r="D7464">
        <v>4621</v>
      </c>
    </row>
    <row r="7465" spans="1:4" x14ac:dyDescent="0.25">
      <c r="A7465" t="str">
        <f>T("   190590")</f>
        <v xml:space="preserve">   190590</v>
      </c>
      <c r="B7465" t="s">
        <v>52</v>
      </c>
      <c r="C7465">
        <v>43131001</v>
      </c>
      <c r="D7465">
        <v>221119</v>
      </c>
    </row>
    <row r="7466" spans="1:4" x14ac:dyDescent="0.25">
      <c r="A7466" t="str">
        <f>T("   200290")</f>
        <v xml:space="preserve">   200290</v>
      </c>
      <c r="B7466"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466">
        <v>22589623</v>
      </c>
      <c r="D7466">
        <v>68355.399999999994</v>
      </c>
    </row>
    <row r="7467" spans="1:4" x14ac:dyDescent="0.25">
      <c r="A7467" t="str">
        <f>T("   200310")</f>
        <v xml:space="preserve">   200310</v>
      </c>
      <c r="B7467" t="str">
        <f>T("   Champignons du genre 'Agaricus', préparés ou conservés autrement qu'au vinaigre ou à l'acide acétique")</f>
        <v xml:space="preserve">   Champignons du genre 'Agaricus', préparés ou conservés autrement qu'au vinaigre ou à l'acide acétique</v>
      </c>
      <c r="C7467">
        <v>10363207</v>
      </c>
      <c r="D7467">
        <v>13600</v>
      </c>
    </row>
    <row r="7468" spans="1:4" x14ac:dyDescent="0.25">
      <c r="A7468" t="str">
        <f>T("   200559")</f>
        <v xml:space="preserve">   200559</v>
      </c>
      <c r="B7468"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468">
        <v>2437296</v>
      </c>
      <c r="D7468">
        <v>7070</v>
      </c>
    </row>
    <row r="7469" spans="1:4" x14ac:dyDescent="0.25">
      <c r="A7469" t="str">
        <f>T("   200570")</f>
        <v xml:space="preserve">   200570</v>
      </c>
      <c r="B7469" t="str">
        <f>T("   OLIVES, PRÉPARÉES OU CONSERVÉES AUTREMENT QU'AU VINAIGRE OU À L'ACIDE ACÉTIQUE, NON-CONGELÉES")</f>
        <v xml:space="preserve">   OLIVES, PRÉPARÉES OU CONSERVÉES AUTREMENT QU'AU VINAIGRE OU À L'ACIDE ACÉTIQUE, NON-CONGELÉES</v>
      </c>
      <c r="C7469">
        <v>858720</v>
      </c>
      <c r="D7469">
        <v>2902</v>
      </c>
    </row>
    <row r="7470" spans="1:4" x14ac:dyDescent="0.25">
      <c r="A7470" t="str">
        <f>T("   200580")</f>
        <v xml:space="preserve">   200580</v>
      </c>
      <c r="B7470" t="str">
        <f>T("   Maïs doux [Zea mays var. saccharata], préparé ou conservé autrement qu'au vinaigre ou à l'acide acétique, non congelé")</f>
        <v xml:space="preserve">   Maïs doux [Zea mays var. saccharata], préparé ou conservé autrement qu'au vinaigre ou à l'acide acétique, non congelé</v>
      </c>
      <c r="C7470">
        <v>541744</v>
      </c>
      <c r="D7470">
        <v>645.5</v>
      </c>
    </row>
    <row r="7471" spans="1:4" x14ac:dyDescent="0.25">
      <c r="A7471" t="str">
        <f>T("   200819")</f>
        <v xml:space="preserve">   200819</v>
      </c>
      <c r="B7471" t="s">
        <v>56</v>
      </c>
      <c r="C7471">
        <v>7288404</v>
      </c>
      <c r="D7471">
        <v>15248</v>
      </c>
    </row>
    <row r="7472" spans="1:4" x14ac:dyDescent="0.25">
      <c r="A7472" t="str">
        <f>T("   200919")</f>
        <v xml:space="preserve">   200919</v>
      </c>
      <c r="B7472"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7472">
        <v>4570000</v>
      </c>
      <c r="D7472">
        <v>28329</v>
      </c>
    </row>
    <row r="7473" spans="1:4" x14ac:dyDescent="0.25">
      <c r="A7473" t="str">
        <f>T("   200980")</f>
        <v xml:space="preserve">   200980</v>
      </c>
      <c r="B747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473">
        <v>18359239</v>
      </c>
      <c r="D7473">
        <v>86163</v>
      </c>
    </row>
    <row r="7474" spans="1:4" x14ac:dyDescent="0.25">
      <c r="A7474" t="str">
        <f>T("   200990")</f>
        <v xml:space="preserve">   200990</v>
      </c>
      <c r="B747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474">
        <v>66047548</v>
      </c>
      <c r="D7474">
        <v>264901</v>
      </c>
    </row>
    <row r="7475" spans="1:4" x14ac:dyDescent="0.25">
      <c r="A7475" t="str">
        <f>T("   210130")</f>
        <v xml:space="preserve">   210130</v>
      </c>
      <c r="B7475" t="str">
        <f>T("   Chicorée torréfiée et autres succédanés torréfiés du café et leurs extraits, essences et concentrés")</f>
        <v xml:space="preserve">   Chicorée torréfiée et autres succédanés torréfiés du café et leurs extraits, essences et concentrés</v>
      </c>
      <c r="C7475">
        <v>1742374</v>
      </c>
      <c r="D7475">
        <v>1500</v>
      </c>
    </row>
    <row r="7476" spans="1:4" x14ac:dyDescent="0.25">
      <c r="A7476" t="str">
        <f>T("   210230")</f>
        <v xml:space="preserve">   210230</v>
      </c>
      <c r="B7476" t="str">
        <f>T("   Poudres à lever préparées")</f>
        <v xml:space="preserve">   Poudres à lever préparées</v>
      </c>
      <c r="C7476">
        <v>170955</v>
      </c>
      <c r="D7476">
        <v>150</v>
      </c>
    </row>
    <row r="7477" spans="1:4" x14ac:dyDescent="0.25">
      <c r="A7477" t="str">
        <f>T("   210320")</f>
        <v xml:space="preserve">   210320</v>
      </c>
      <c r="B7477" t="str">
        <f>T("   Tomato ketchup et autres sauces tomates")</f>
        <v xml:space="preserve">   Tomato ketchup et autres sauces tomates</v>
      </c>
      <c r="C7477">
        <v>2070626</v>
      </c>
      <c r="D7477">
        <v>6319</v>
      </c>
    </row>
    <row r="7478" spans="1:4" x14ac:dyDescent="0.25">
      <c r="A7478" t="str">
        <f>T("   210390")</f>
        <v xml:space="preserve">   210390</v>
      </c>
      <c r="B747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478">
        <v>7732070</v>
      </c>
      <c r="D7478">
        <v>31772</v>
      </c>
    </row>
    <row r="7479" spans="1:4" x14ac:dyDescent="0.25">
      <c r="A7479" t="str">
        <f>T("   210500")</f>
        <v xml:space="preserve">   210500</v>
      </c>
      <c r="B7479" t="str">
        <f>T("   Glaces de consommation, même contenant du cacao")</f>
        <v xml:space="preserve">   Glaces de consommation, même contenant du cacao</v>
      </c>
      <c r="C7479">
        <v>2150900</v>
      </c>
      <c r="D7479">
        <v>1378</v>
      </c>
    </row>
    <row r="7480" spans="1:4" x14ac:dyDescent="0.25">
      <c r="A7480" t="str">
        <f>T("   210690")</f>
        <v xml:space="preserve">   210690</v>
      </c>
      <c r="B7480" t="str">
        <f>T("   Préparations alimentaires, n.d.a.")</f>
        <v xml:space="preserve">   Préparations alimentaires, n.d.a.</v>
      </c>
      <c r="C7480">
        <v>8357398</v>
      </c>
      <c r="D7480">
        <v>25361</v>
      </c>
    </row>
    <row r="7481" spans="1:4" x14ac:dyDescent="0.25">
      <c r="A7481" t="str">
        <f>T("   220110")</f>
        <v xml:space="preserve">   220110</v>
      </c>
      <c r="B7481" t="str">
        <f>T("   Eaux minérales et eaux gazéifiées, non additionnées de sucre ou d'autres édulcorants ni aromatisées")</f>
        <v xml:space="preserve">   Eaux minérales et eaux gazéifiées, non additionnées de sucre ou d'autres édulcorants ni aromatisées</v>
      </c>
      <c r="C7481">
        <v>34010135</v>
      </c>
      <c r="D7481">
        <v>422657</v>
      </c>
    </row>
    <row r="7482" spans="1:4" x14ac:dyDescent="0.25">
      <c r="A7482" t="str">
        <f>T("   220210")</f>
        <v xml:space="preserve">   220210</v>
      </c>
      <c r="B7482"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482">
        <v>87921</v>
      </c>
      <c r="D7482">
        <v>786</v>
      </c>
    </row>
    <row r="7483" spans="1:4" x14ac:dyDescent="0.25">
      <c r="A7483" t="str">
        <f>T("   220290")</f>
        <v xml:space="preserve">   220290</v>
      </c>
      <c r="B7483" t="str">
        <f>T("   BOISSONS NON-ALCOOLIQUES (À L'EXCL. DES EAUX, DES JUS DE FRUITS OU DE LÉGUMES AINSI QUE DU LAIT)")</f>
        <v xml:space="preserve">   BOISSONS NON-ALCOOLIQUES (À L'EXCL. DES EAUX, DES JUS DE FRUITS OU DE LÉGUMES AINSI QUE DU LAIT)</v>
      </c>
      <c r="C7483">
        <v>12402815</v>
      </c>
      <c r="D7483">
        <v>52619</v>
      </c>
    </row>
    <row r="7484" spans="1:4" x14ac:dyDescent="0.25">
      <c r="A7484" t="str">
        <f>T("   220300")</f>
        <v xml:space="preserve">   220300</v>
      </c>
      <c r="B7484" t="str">
        <f>T("   Bières de malt")</f>
        <v xml:space="preserve">   Bières de malt</v>
      </c>
      <c r="C7484">
        <v>50089</v>
      </c>
      <c r="D7484">
        <v>273</v>
      </c>
    </row>
    <row r="7485" spans="1:4" x14ac:dyDescent="0.25">
      <c r="A7485" t="str">
        <f>T("   220590")</f>
        <v xml:space="preserve">   220590</v>
      </c>
      <c r="B7485"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7485">
        <v>1362058</v>
      </c>
      <c r="D7485">
        <v>500</v>
      </c>
    </row>
    <row r="7486" spans="1:4" x14ac:dyDescent="0.25">
      <c r="A7486" t="str">
        <f>T("   220600")</f>
        <v xml:space="preserve">   220600</v>
      </c>
      <c r="B7486" t="s">
        <v>60</v>
      </c>
      <c r="C7486">
        <v>224039</v>
      </c>
      <c r="D7486">
        <v>785</v>
      </c>
    </row>
    <row r="7487" spans="1:4" x14ac:dyDescent="0.25">
      <c r="A7487" t="str">
        <f>T("   220900")</f>
        <v xml:space="preserve">   220900</v>
      </c>
      <c r="B7487" t="str">
        <f>T("   Vinaigres comestibles et succédanés de vinaigre comestibles obtenus à partir d'acide acétique")</f>
        <v xml:space="preserve">   Vinaigres comestibles et succédanés de vinaigre comestibles obtenus à partir d'acide acétique</v>
      </c>
      <c r="C7487">
        <v>750310</v>
      </c>
      <c r="D7487">
        <v>2017</v>
      </c>
    </row>
    <row r="7488" spans="1:4" x14ac:dyDescent="0.25">
      <c r="A7488" t="str">
        <f>T("   250100")</f>
        <v xml:space="preserve">   250100</v>
      </c>
      <c r="B7488" t="s">
        <v>63</v>
      </c>
      <c r="C7488">
        <v>158285</v>
      </c>
      <c r="D7488">
        <v>1378</v>
      </c>
    </row>
    <row r="7489" spans="1:4" x14ac:dyDescent="0.25">
      <c r="A7489" t="str">
        <f>T("   271113")</f>
        <v xml:space="preserve">   271113</v>
      </c>
      <c r="B7489" t="str">
        <f>T("   Butanes, liquéfiés (à l'excl. des butanes d'une pureté &gt;= 95% en n-butane ou en isobutane)")</f>
        <v xml:space="preserve">   Butanes, liquéfiés (à l'excl. des butanes d'une pureté &gt;= 95% en n-butane ou en isobutane)</v>
      </c>
      <c r="C7489">
        <v>15750</v>
      </c>
      <c r="D7489">
        <v>600</v>
      </c>
    </row>
    <row r="7490" spans="1:4" x14ac:dyDescent="0.25">
      <c r="A7490" t="str">
        <f>T("   282300")</f>
        <v xml:space="preserve">   282300</v>
      </c>
      <c r="B7490" t="str">
        <f>T("   Oxydes de titane")</f>
        <v xml:space="preserve">   Oxydes de titane</v>
      </c>
      <c r="C7490">
        <v>17185645</v>
      </c>
      <c r="D7490">
        <v>18276</v>
      </c>
    </row>
    <row r="7491" spans="1:4" x14ac:dyDescent="0.25">
      <c r="A7491" t="str">
        <f>T("   290345")</f>
        <v xml:space="preserve">   290345</v>
      </c>
      <c r="B7491" t="str">
        <f>T("   Dérivés des hydrocarbures acycliques, perhalogénés uniquement avec du fluor et du chlore (à l'excl. du trichlorofluorométhane, du dichlorodifluorométhane, des trichlorotrifluoroéthanes, des dichlorotétrafluoroéthanes et du chloropentafluoroéthane)")</f>
        <v xml:space="preserve">   Dérivés des hydrocarbures acycliques, perhalogénés uniquement avec du fluor et du chlore (à l'excl. du trichlorofluorométhane, du dichlorodifluorométhane, des trichlorotrifluoroéthanes, des dichlorotétrafluoroéthanes et du chloropentafluoroéthane)</v>
      </c>
      <c r="C7491">
        <v>3155482</v>
      </c>
      <c r="D7491">
        <v>849</v>
      </c>
    </row>
    <row r="7492" spans="1:4" x14ac:dyDescent="0.25">
      <c r="A7492" t="str">
        <f>T("   291632")</f>
        <v xml:space="preserve">   291632</v>
      </c>
      <c r="B7492" t="str">
        <f>T("   Peroxyde de benzoyle et chlorure de benzoyle")</f>
        <v xml:space="preserve">   Peroxyde de benzoyle et chlorure de benzoyle</v>
      </c>
      <c r="C7492">
        <v>4529820</v>
      </c>
      <c r="D7492">
        <v>14438</v>
      </c>
    </row>
    <row r="7493" spans="1:4" x14ac:dyDescent="0.25">
      <c r="A7493" t="str">
        <f>T("   320820")</f>
        <v xml:space="preserve">   320820</v>
      </c>
      <c r="B7493" t="s">
        <v>101</v>
      </c>
      <c r="C7493">
        <v>7646189</v>
      </c>
      <c r="D7493">
        <v>5499</v>
      </c>
    </row>
    <row r="7494" spans="1:4" x14ac:dyDescent="0.25">
      <c r="A7494" t="str">
        <f>T("   320890")</f>
        <v xml:space="preserve">   320890</v>
      </c>
      <c r="B7494" t="s">
        <v>102</v>
      </c>
      <c r="C7494">
        <v>58359938</v>
      </c>
      <c r="D7494">
        <v>62618</v>
      </c>
    </row>
    <row r="7495" spans="1:4" x14ac:dyDescent="0.25">
      <c r="A7495" t="str">
        <f>T("   320910")</f>
        <v xml:space="preserve">   320910</v>
      </c>
      <c r="B7495" t="str">
        <f>T("   Peintures et vernis à base de polymères acryliques ou vinyliques, dispersés ou dissous dans un milieu aqueux")</f>
        <v xml:space="preserve">   Peintures et vernis à base de polymères acryliques ou vinyliques, dispersés ou dissous dans un milieu aqueux</v>
      </c>
      <c r="C7495">
        <v>2665660</v>
      </c>
      <c r="D7495">
        <v>8096</v>
      </c>
    </row>
    <row r="7496" spans="1:4" x14ac:dyDescent="0.25">
      <c r="A7496" t="str">
        <f>T("   321000")</f>
        <v xml:space="preserve">   321000</v>
      </c>
      <c r="B7496"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7496">
        <v>3500000</v>
      </c>
      <c r="D7496">
        <v>14892</v>
      </c>
    </row>
    <row r="7497" spans="1:4" x14ac:dyDescent="0.25">
      <c r="A7497" t="str">
        <f>T("   321410")</f>
        <v xml:space="preserve">   321410</v>
      </c>
      <c r="B7497" t="str">
        <f>T("   Mastic de vitrier, ciments de résine et autres mastics; enduits utilisés en peinture")</f>
        <v xml:space="preserve">   Mastic de vitrier, ciments de résine et autres mastics; enduits utilisés en peinture</v>
      </c>
      <c r="C7497">
        <v>4972923</v>
      </c>
      <c r="D7497">
        <v>11580</v>
      </c>
    </row>
    <row r="7498" spans="1:4" x14ac:dyDescent="0.25">
      <c r="A7498" t="str">
        <f>T("   330190")</f>
        <v xml:space="preserve">   330190</v>
      </c>
      <c r="B7498" t="s">
        <v>104</v>
      </c>
      <c r="C7498">
        <v>287442</v>
      </c>
      <c r="D7498">
        <v>660</v>
      </c>
    </row>
    <row r="7499" spans="1:4" x14ac:dyDescent="0.25">
      <c r="A7499" t="str">
        <f>T("   330499")</f>
        <v xml:space="preserve">   330499</v>
      </c>
      <c r="B7499" t="s">
        <v>106</v>
      </c>
      <c r="C7499">
        <v>1200000</v>
      </c>
      <c r="D7499">
        <v>3000</v>
      </c>
    </row>
    <row r="7500" spans="1:4" x14ac:dyDescent="0.25">
      <c r="A7500" t="str">
        <f>T("   330510")</f>
        <v xml:space="preserve">   330510</v>
      </c>
      <c r="B7500" t="str">
        <f>T("   Shampooings")</f>
        <v xml:space="preserve">   Shampooings</v>
      </c>
      <c r="C7500">
        <v>150863</v>
      </c>
      <c r="D7500">
        <v>650</v>
      </c>
    </row>
    <row r="7501" spans="1:4" x14ac:dyDescent="0.25">
      <c r="A7501" t="str">
        <f>T("   340111")</f>
        <v xml:space="preserve">   340111</v>
      </c>
      <c r="B7501" t="s">
        <v>107</v>
      </c>
      <c r="C7501">
        <v>583492</v>
      </c>
      <c r="D7501">
        <v>1850</v>
      </c>
    </row>
    <row r="7502" spans="1:4" x14ac:dyDescent="0.25">
      <c r="A7502" t="str">
        <f>T("   340119")</f>
        <v xml:space="preserve">   340119</v>
      </c>
      <c r="B7502" t="s">
        <v>108</v>
      </c>
      <c r="C7502">
        <v>4560170</v>
      </c>
      <c r="D7502">
        <v>12417</v>
      </c>
    </row>
    <row r="7503" spans="1:4" x14ac:dyDescent="0.25">
      <c r="A7503" t="str">
        <f>T("   340120")</f>
        <v xml:space="preserve">   340120</v>
      </c>
      <c r="B7503" t="str">
        <f>T("   Savons en flocons, en paillettes, en granulés ou en poudres et savons liquides ou pâteux")</f>
        <v xml:space="preserve">   Savons en flocons, en paillettes, en granulés ou en poudres et savons liquides ou pâteux</v>
      </c>
      <c r="C7503">
        <v>2769463</v>
      </c>
      <c r="D7503">
        <v>3393</v>
      </c>
    </row>
    <row r="7504" spans="1:4" x14ac:dyDescent="0.25">
      <c r="A7504" t="str">
        <f>T("   340220")</f>
        <v xml:space="preserve">   340220</v>
      </c>
      <c r="B7504" t="s">
        <v>109</v>
      </c>
      <c r="C7504">
        <v>1608660</v>
      </c>
      <c r="D7504">
        <v>3464</v>
      </c>
    </row>
    <row r="7505" spans="1:4" x14ac:dyDescent="0.25">
      <c r="A7505" t="str">
        <f>T("   340290")</f>
        <v xml:space="preserve">   340290</v>
      </c>
      <c r="B7505" t="s">
        <v>110</v>
      </c>
      <c r="C7505">
        <v>2578891</v>
      </c>
      <c r="D7505">
        <v>8149</v>
      </c>
    </row>
    <row r="7506" spans="1:4" x14ac:dyDescent="0.25">
      <c r="A7506" t="str">
        <f>T("   340590")</f>
        <v xml:space="preserve">   340590</v>
      </c>
      <c r="B7506"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7506">
        <v>267872</v>
      </c>
      <c r="D7506">
        <v>1099</v>
      </c>
    </row>
    <row r="7507" spans="1:4" x14ac:dyDescent="0.25">
      <c r="A7507" t="str">
        <f>T("   350510")</f>
        <v xml:space="preserve">   350510</v>
      </c>
      <c r="B7507" t="str">
        <f>T("   DEXTRINE ET AUTRES AMIDONS ET FÉCULES MODIFIÉS [LES AMIDONS ET FÉCULES PRÉ-GÉLATINISÉS OU ESTÉRIFIÉS, P.EX.]")</f>
        <v xml:space="preserve">   DEXTRINE ET AUTRES AMIDONS ET FÉCULES MODIFIÉS [LES AMIDONS ET FÉCULES PRÉ-GÉLATINISÉS OU ESTÉRIFIÉS, P.EX.]</v>
      </c>
      <c r="C7507">
        <v>452090</v>
      </c>
      <c r="D7507">
        <v>620</v>
      </c>
    </row>
    <row r="7508" spans="1:4" x14ac:dyDescent="0.25">
      <c r="A7508" t="str">
        <f>T("   370254")</f>
        <v xml:space="preserve">   370254</v>
      </c>
      <c r="B7508" t="s">
        <v>123</v>
      </c>
      <c r="C7508">
        <v>4080793</v>
      </c>
      <c r="D7508">
        <v>6679</v>
      </c>
    </row>
    <row r="7509" spans="1:4" x14ac:dyDescent="0.25">
      <c r="A7509" t="str">
        <f>T("   370320")</f>
        <v xml:space="preserve">   370320</v>
      </c>
      <c r="B7509"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7509">
        <v>13716288</v>
      </c>
      <c r="D7509">
        <v>71464</v>
      </c>
    </row>
    <row r="7510" spans="1:4" x14ac:dyDescent="0.25">
      <c r="A7510" t="str">
        <f>T("   370790")</f>
        <v xml:space="preserve">   370790</v>
      </c>
      <c r="B7510" t="s">
        <v>124</v>
      </c>
      <c r="C7510">
        <v>8499661</v>
      </c>
      <c r="D7510">
        <v>21070</v>
      </c>
    </row>
    <row r="7511" spans="1:4" x14ac:dyDescent="0.25">
      <c r="A7511" t="str">
        <f>T("   380894")</f>
        <v xml:space="preserve">   380894</v>
      </c>
      <c r="B7511" t="str">
        <f>T("   DÉSINFECTANTS (À L'EXCL. DES MARCHANDISES DU N° 3808.50)")</f>
        <v xml:space="preserve">   DÉSINFECTANTS (À L'EXCL. DES MARCHANDISES DU N° 3808.50)</v>
      </c>
      <c r="C7511">
        <v>963936</v>
      </c>
      <c r="D7511">
        <v>1060</v>
      </c>
    </row>
    <row r="7512" spans="1:4" x14ac:dyDescent="0.25">
      <c r="A7512" t="str">
        <f>T("   381400")</f>
        <v xml:space="preserve">   381400</v>
      </c>
      <c r="B751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512">
        <v>15503723</v>
      </c>
      <c r="D7512">
        <v>41945</v>
      </c>
    </row>
    <row r="7513" spans="1:4" x14ac:dyDescent="0.25">
      <c r="A7513" t="str">
        <f>T("   381900")</f>
        <v xml:space="preserve">   381900</v>
      </c>
      <c r="B7513"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7513">
        <v>252965</v>
      </c>
      <c r="D7513">
        <v>111</v>
      </c>
    </row>
    <row r="7514" spans="1:4" x14ac:dyDescent="0.25">
      <c r="A7514" t="str">
        <f>T("   382440")</f>
        <v xml:space="preserve">   382440</v>
      </c>
      <c r="B7514" t="str">
        <f>T("   Additifs préparés pour ciments, mortiers ou bétons")</f>
        <v xml:space="preserve">   Additifs préparés pour ciments, mortiers ou bétons</v>
      </c>
      <c r="C7514">
        <v>16246817</v>
      </c>
      <c r="D7514">
        <v>18990</v>
      </c>
    </row>
    <row r="7515" spans="1:4" x14ac:dyDescent="0.25">
      <c r="A7515" t="str">
        <f>T("   382483")</f>
        <v xml:space="preserve">   382483</v>
      </c>
      <c r="B7515" t="str">
        <f>T("   MÉLANGES ET PRÉPARATIONS CONTENANT DU PHOSPHATE DE TRIS[2,3-DIBROMOPROPYLE]")</f>
        <v xml:space="preserve">   MÉLANGES ET PRÉPARATIONS CONTENANT DU PHOSPHATE DE TRIS[2,3-DIBROMOPROPYLE]</v>
      </c>
      <c r="C7515">
        <v>479748</v>
      </c>
      <c r="D7515">
        <v>1470</v>
      </c>
    </row>
    <row r="7516" spans="1:4" x14ac:dyDescent="0.25">
      <c r="A7516" t="str">
        <f>T("   382490")</f>
        <v xml:space="preserve">   382490</v>
      </c>
      <c r="B7516"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516">
        <v>96943</v>
      </c>
      <c r="D7516">
        <v>249</v>
      </c>
    </row>
    <row r="7517" spans="1:4" x14ac:dyDescent="0.25">
      <c r="A7517" t="str">
        <f>T("   390390")</f>
        <v xml:space="preserve">   390390</v>
      </c>
      <c r="B751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7517">
        <v>788870</v>
      </c>
      <c r="D7517">
        <v>9</v>
      </c>
    </row>
    <row r="7518" spans="1:4" x14ac:dyDescent="0.25">
      <c r="A7518" t="str">
        <f>T("   391810")</f>
        <v xml:space="preserve">   391810</v>
      </c>
      <c r="B7518" t="s">
        <v>137</v>
      </c>
      <c r="C7518">
        <v>3490207</v>
      </c>
      <c r="D7518">
        <v>5500</v>
      </c>
    </row>
    <row r="7519" spans="1:4" x14ac:dyDescent="0.25">
      <c r="A7519" t="str">
        <f>T("   391990")</f>
        <v xml:space="preserve">   391990</v>
      </c>
      <c r="B7519" t="s">
        <v>139</v>
      </c>
      <c r="C7519">
        <v>5300000</v>
      </c>
      <c r="D7519">
        <v>5500</v>
      </c>
    </row>
    <row r="7520" spans="1:4" x14ac:dyDescent="0.25">
      <c r="A7520" t="str">
        <f>T("   392310")</f>
        <v xml:space="preserve">   392310</v>
      </c>
      <c r="B7520" t="str">
        <f>T("   Boîtes, caisses, casiers et articles simil. pour le transport ou l'emballage, en matières plastiques")</f>
        <v xml:space="preserve">   Boîtes, caisses, casiers et articles simil. pour le transport ou l'emballage, en matières plastiques</v>
      </c>
      <c r="C7520">
        <v>404874</v>
      </c>
      <c r="D7520">
        <v>900</v>
      </c>
    </row>
    <row r="7521" spans="1:4" x14ac:dyDescent="0.25">
      <c r="A7521" t="str">
        <f>T("   392321")</f>
        <v xml:space="preserve">   392321</v>
      </c>
      <c r="B7521" t="str">
        <f>T("   Sacs, sachets, pochettes et cornets, en polymères de l'éthylène")</f>
        <v xml:space="preserve">   Sacs, sachets, pochettes et cornets, en polymères de l'éthylène</v>
      </c>
      <c r="C7521">
        <v>2718014</v>
      </c>
      <c r="D7521">
        <v>8008</v>
      </c>
    </row>
    <row r="7522" spans="1:4" x14ac:dyDescent="0.25">
      <c r="A7522" t="str">
        <f>T("   392329")</f>
        <v xml:space="preserve">   392329</v>
      </c>
      <c r="B7522" t="str">
        <f>T("   Sacs, sachets, pochettes et cornets, en matières plastiques (autres que les polymères de l'éthylène)")</f>
        <v xml:space="preserve">   Sacs, sachets, pochettes et cornets, en matières plastiques (autres que les polymères de l'éthylène)</v>
      </c>
      <c r="C7522">
        <v>945286</v>
      </c>
      <c r="D7522">
        <v>7122</v>
      </c>
    </row>
    <row r="7523" spans="1:4" x14ac:dyDescent="0.25">
      <c r="A7523" t="str">
        <f>T("   392390")</f>
        <v xml:space="preserve">   392390</v>
      </c>
      <c r="B7523" t="s">
        <v>156</v>
      </c>
      <c r="C7523">
        <v>145082</v>
      </c>
      <c r="D7523">
        <v>20</v>
      </c>
    </row>
    <row r="7524" spans="1:4" x14ac:dyDescent="0.25">
      <c r="A7524" t="str">
        <f>T("   392410")</f>
        <v xml:space="preserve">   392410</v>
      </c>
      <c r="B7524" t="str">
        <f>T("   Vaisselle et autres articles pour le service de la table ou de la cuisine, en matières plastiques")</f>
        <v xml:space="preserve">   Vaisselle et autres articles pour le service de la table ou de la cuisine, en matières plastiques</v>
      </c>
      <c r="C7524">
        <v>1602476</v>
      </c>
      <c r="D7524">
        <v>4476</v>
      </c>
    </row>
    <row r="7525" spans="1:4" x14ac:dyDescent="0.25">
      <c r="A7525" t="str">
        <f>T("   392590")</f>
        <v xml:space="preserve">   392590</v>
      </c>
      <c r="B7525" t="s">
        <v>158</v>
      </c>
      <c r="C7525">
        <v>720740</v>
      </c>
      <c r="D7525">
        <v>1200</v>
      </c>
    </row>
    <row r="7526" spans="1:4" x14ac:dyDescent="0.25">
      <c r="A7526" t="str">
        <f>T("   400942")</f>
        <v xml:space="preserve">   400942</v>
      </c>
      <c r="B7526" t="s">
        <v>163</v>
      </c>
      <c r="C7526">
        <v>30293</v>
      </c>
      <c r="D7526">
        <v>78</v>
      </c>
    </row>
    <row r="7527" spans="1:4" x14ac:dyDescent="0.25">
      <c r="A7527" t="str">
        <f>T("   401110")</f>
        <v xml:space="preserve">   401110</v>
      </c>
      <c r="B752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527">
        <v>60570077</v>
      </c>
      <c r="D7527">
        <v>23716</v>
      </c>
    </row>
    <row r="7528" spans="1:4" x14ac:dyDescent="0.25">
      <c r="A7528" t="str">
        <f>T("   401120")</f>
        <v xml:space="preserve">   401120</v>
      </c>
      <c r="B752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528">
        <v>16549975</v>
      </c>
      <c r="D7528">
        <v>4738</v>
      </c>
    </row>
    <row r="7529" spans="1:4" x14ac:dyDescent="0.25">
      <c r="A7529" t="str">
        <f>T("   401699")</f>
        <v xml:space="preserve">   401699</v>
      </c>
      <c r="B7529" t="str">
        <f>T("   OUVRAGES EN CAOUTCHOUC VULCANISÉ NON-DURCI, N.D.A.")</f>
        <v xml:space="preserve">   OUVRAGES EN CAOUTCHOUC VULCANISÉ NON-DURCI, N.D.A.</v>
      </c>
      <c r="C7529">
        <v>21063</v>
      </c>
      <c r="D7529">
        <v>22</v>
      </c>
    </row>
    <row r="7530" spans="1:4" x14ac:dyDescent="0.25">
      <c r="A7530" t="str">
        <f>T("   420229")</f>
        <v xml:space="preserve">   420229</v>
      </c>
      <c r="B753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530">
        <v>155470</v>
      </c>
      <c r="D7530">
        <v>347</v>
      </c>
    </row>
    <row r="7531" spans="1:4" x14ac:dyDescent="0.25">
      <c r="A7531" t="str">
        <f>T("   420299")</f>
        <v xml:space="preserve">   420299</v>
      </c>
      <c r="B7531" t="s">
        <v>174</v>
      </c>
      <c r="C7531">
        <v>700000</v>
      </c>
      <c r="D7531">
        <v>5000</v>
      </c>
    </row>
    <row r="7532" spans="1:4" x14ac:dyDescent="0.25">
      <c r="A7532" t="str">
        <f>T("   441039")</f>
        <v xml:space="preserve">   441039</v>
      </c>
      <c r="B7532" t="s">
        <v>183</v>
      </c>
      <c r="C7532">
        <v>19446839</v>
      </c>
      <c r="D7532">
        <v>485</v>
      </c>
    </row>
    <row r="7533" spans="1:4" x14ac:dyDescent="0.25">
      <c r="A7533" t="str">
        <f>T("   442190")</f>
        <v xml:space="preserve">   442190</v>
      </c>
      <c r="B7533" t="str">
        <f>T("   Ouvrages, en bois, n.d.a.")</f>
        <v xml:space="preserve">   Ouvrages, en bois, n.d.a.</v>
      </c>
      <c r="C7533">
        <v>1664151</v>
      </c>
      <c r="D7533">
        <v>310</v>
      </c>
    </row>
    <row r="7534" spans="1:4" x14ac:dyDescent="0.25">
      <c r="A7534" t="str">
        <f>T("   480300")</f>
        <v xml:space="preserve">   480300</v>
      </c>
      <c r="B7534" t="s">
        <v>211</v>
      </c>
      <c r="C7534">
        <v>91228102</v>
      </c>
      <c r="D7534">
        <v>318866</v>
      </c>
    </row>
    <row r="7535" spans="1:4" x14ac:dyDescent="0.25">
      <c r="A7535" t="str">
        <f>T("   480700")</f>
        <v xml:space="preserve">   480700</v>
      </c>
      <c r="B7535" t="s">
        <v>217</v>
      </c>
      <c r="C7535">
        <v>3140947</v>
      </c>
      <c r="D7535">
        <v>24690</v>
      </c>
    </row>
    <row r="7536" spans="1:4" x14ac:dyDescent="0.25">
      <c r="A7536" t="str">
        <f>T("   481190")</f>
        <v xml:space="preserve">   481190</v>
      </c>
      <c r="B7536" t="s">
        <v>228</v>
      </c>
      <c r="C7536">
        <v>890402</v>
      </c>
      <c r="D7536">
        <v>1028</v>
      </c>
    </row>
    <row r="7537" spans="1:4" x14ac:dyDescent="0.25">
      <c r="A7537" t="str">
        <f>T("   481820")</f>
        <v xml:space="preserve">   481820</v>
      </c>
      <c r="B7537"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537">
        <v>784174</v>
      </c>
      <c r="D7537">
        <v>762</v>
      </c>
    </row>
    <row r="7538" spans="1:4" x14ac:dyDescent="0.25">
      <c r="A7538" t="str">
        <f>T("   481830")</f>
        <v xml:space="preserve">   481830</v>
      </c>
      <c r="B7538" t="str">
        <f>T("   Nappes et serviettes de table, en pâte à papier, papier, ouate de cellulose ou nappes de fibres de cellulose")</f>
        <v xml:space="preserve">   Nappes et serviettes de table, en pâte à papier, papier, ouate de cellulose ou nappes de fibres de cellulose</v>
      </c>
      <c r="C7538">
        <v>6735039</v>
      </c>
      <c r="D7538">
        <v>3562</v>
      </c>
    </row>
    <row r="7539" spans="1:4" x14ac:dyDescent="0.25">
      <c r="A7539" t="str">
        <f>T("   481840")</f>
        <v xml:space="preserve">   481840</v>
      </c>
      <c r="B753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539">
        <v>32116217</v>
      </c>
      <c r="D7539">
        <v>29548</v>
      </c>
    </row>
    <row r="7540" spans="1:4" x14ac:dyDescent="0.25">
      <c r="A7540" t="str">
        <f>T("   490199")</f>
        <v xml:space="preserve">   490199</v>
      </c>
      <c r="B754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540">
        <v>1200525</v>
      </c>
      <c r="D7540">
        <v>14000</v>
      </c>
    </row>
    <row r="7541" spans="1:4" x14ac:dyDescent="0.25">
      <c r="A7541" t="str">
        <f>T("   491000")</f>
        <v xml:space="preserve">   491000</v>
      </c>
      <c r="B7541" t="str">
        <f>T("   Calendriers de tous genres, imprimés, y.c. les blocs de calendriers à effeuiller")</f>
        <v xml:space="preserve">   Calendriers de tous genres, imprimés, y.c. les blocs de calendriers à effeuiller</v>
      </c>
      <c r="C7541">
        <v>1133226</v>
      </c>
      <c r="D7541">
        <v>161</v>
      </c>
    </row>
    <row r="7542" spans="1:4" x14ac:dyDescent="0.25">
      <c r="A7542" t="str">
        <f>T("   491110")</f>
        <v xml:space="preserve">   491110</v>
      </c>
      <c r="B7542" t="str">
        <f>T("   Imprimés publicitaires, catalogues commerciaux et simil.")</f>
        <v xml:space="preserve">   Imprimés publicitaires, catalogues commerciaux et simil.</v>
      </c>
      <c r="C7542">
        <v>3500000</v>
      </c>
      <c r="D7542">
        <v>6500</v>
      </c>
    </row>
    <row r="7543" spans="1:4" x14ac:dyDescent="0.25">
      <c r="A7543" t="str">
        <f>T("   520852")</f>
        <v xml:space="preserve">   520852</v>
      </c>
      <c r="B7543" t="str">
        <f>T("   Tissus de coton, imprimés, à armure toile, contenant &gt;= 85% en poids de coton, d'un poids &gt; 100 g/m² mais &lt;= 200 g/m²")</f>
        <v xml:space="preserve">   Tissus de coton, imprimés, à armure toile, contenant &gt;= 85% en poids de coton, d'un poids &gt; 100 g/m² mais &lt;= 200 g/m²</v>
      </c>
      <c r="C7543">
        <v>342413</v>
      </c>
      <c r="D7543">
        <v>3000</v>
      </c>
    </row>
    <row r="7544" spans="1:4" x14ac:dyDescent="0.25">
      <c r="A7544" t="str">
        <f>T("   551694")</f>
        <v xml:space="preserve">   551694</v>
      </c>
      <c r="B7544" t="s">
        <v>258</v>
      </c>
      <c r="C7544">
        <v>500000</v>
      </c>
      <c r="D7544">
        <v>2000</v>
      </c>
    </row>
    <row r="7545" spans="1:4" x14ac:dyDescent="0.25">
      <c r="A7545" t="str">
        <f>T("   570500")</f>
        <v xml:space="preserve">   570500</v>
      </c>
      <c r="B754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7545">
        <v>1728985</v>
      </c>
      <c r="D7545">
        <v>4400</v>
      </c>
    </row>
    <row r="7546" spans="1:4" x14ac:dyDescent="0.25">
      <c r="A7546" t="str">
        <f>T("   610419")</f>
        <v xml:space="preserve">   610419</v>
      </c>
      <c r="B7546" t="str">
        <f>T("   COSTUMES TAILLEURS EN BONNETERIE, DE MATIÈRES TEXTILES, POUR FEMMES OU FILLETTES (SAUF DE FIBRES SYNTHÉTIQUES ET À L'EXCL. DES COMBINAISONS DE SKI ET MAILLOTS, DES CULOTTES ET SLIPS DE BAIN)")</f>
        <v xml:space="preserve">   COSTUMES TAILLEURS EN BONNETERIE, DE MATIÈRES TEXTILES, POUR FEMMES OU FILLETTES (SAUF DE FIBRES SYNTHÉTIQUES ET À L'EXCL. DES COMBINAISONS DE SKI ET MAILLOTS, DES CULOTTES ET SLIPS DE BAIN)</v>
      </c>
      <c r="C7546">
        <v>600000</v>
      </c>
      <c r="D7546">
        <v>232</v>
      </c>
    </row>
    <row r="7547" spans="1:4" x14ac:dyDescent="0.25">
      <c r="A7547" t="str">
        <f>T("   610990")</f>
        <v xml:space="preserve">   610990</v>
      </c>
      <c r="B7547" t="str">
        <f>T("   T-shirts et maillots de corps, en bonneterie, de matières textiles (sauf de coton)")</f>
        <v xml:space="preserve">   T-shirts et maillots de corps, en bonneterie, de matières textiles (sauf de coton)</v>
      </c>
      <c r="C7547">
        <v>59692</v>
      </c>
      <c r="D7547">
        <v>19</v>
      </c>
    </row>
    <row r="7548" spans="1:4" x14ac:dyDescent="0.25">
      <c r="A7548" t="str">
        <f>T("   621040")</f>
        <v xml:space="preserve">   621040</v>
      </c>
      <c r="B7548" t="s">
        <v>294</v>
      </c>
      <c r="C7548">
        <v>118997</v>
      </c>
      <c r="D7548">
        <v>229</v>
      </c>
    </row>
    <row r="7549" spans="1:4" x14ac:dyDescent="0.25">
      <c r="A7549" t="str">
        <f>T("   621050")</f>
        <v xml:space="preserve">   621050</v>
      </c>
      <c r="B7549" t="s">
        <v>295</v>
      </c>
      <c r="C7549">
        <v>1737150</v>
      </c>
      <c r="D7549">
        <v>8242</v>
      </c>
    </row>
    <row r="7550" spans="1:4" x14ac:dyDescent="0.25">
      <c r="A7550" t="str">
        <f>T("   630900")</f>
        <v xml:space="preserve">   630900</v>
      </c>
      <c r="B7550" t="s">
        <v>300</v>
      </c>
      <c r="C7550">
        <v>364776000</v>
      </c>
      <c r="D7550">
        <v>608392</v>
      </c>
    </row>
    <row r="7551" spans="1:4" x14ac:dyDescent="0.25">
      <c r="A7551" t="str">
        <f>T("   640299")</f>
        <v xml:space="preserve">   640299</v>
      </c>
      <c r="B7551" t="s">
        <v>305</v>
      </c>
      <c r="C7551">
        <v>418467</v>
      </c>
      <c r="D7551">
        <v>137</v>
      </c>
    </row>
    <row r="7552" spans="1:4" x14ac:dyDescent="0.25">
      <c r="A7552" t="str">
        <f>T("   640590")</f>
        <v xml:space="preserve">   640590</v>
      </c>
      <c r="B7552" t="s">
        <v>311</v>
      </c>
      <c r="C7552">
        <v>8172946</v>
      </c>
      <c r="D7552">
        <v>2957</v>
      </c>
    </row>
    <row r="7553" spans="1:4" x14ac:dyDescent="0.25">
      <c r="A7553" t="str">
        <f>T("   680520")</f>
        <v xml:space="preserve">   680520</v>
      </c>
      <c r="B7553"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7553">
        <v>318366</v>
      </c>
      <c r="D7553">
        <v>751</v>
      </c>
    </row>
    <row r="7554" spans="1:4" x14ac:dyDescent="0.25">
      <c r="A7554" t="str">
        <f>T("   691200")</f>
        <v xml:space="preserve">   691200</v>
      </c>
      <c r="B7554" t="s">
        <v>342</v>
      </c>
      <c r="C7554">
        <v>456124</v>
      </c>
      <c r="D7554">
        <v>704</v>
      </c>
    </row>
    <row r="7555" spans="1:4" x14ac:dyDescent="0.25">
      <c r="A7555" t="str">
        <f>T("   700529")</f>
        <v xml:space="preserve">   700529</v>
      </c>
      <c r="B7555" t="s">
        <v>343</v>
      </c>
      <c r="C7555">
        <v>10676750</v>
      </c>
      <c r="D7555">
        <v>46393</v>
      </c>
    </row>
    <row r="7556" spans="1:4" x14ac:dyDescent="0.25">
      <c r="A7556" t="str">
        <f>T("   701329")</f>
        <v xml:space="preserve">   701329</v>
      </c>
      <c r="B7556" t="str">
        <f>T("   Verres à boire (autres qu'en vitrocérame, autres qu'en cristal au plomb)")</f>
        <v xml:space="preserve">   Verres à boire (autres qu'en vitrocérame, autres qu'en cristal au plomb)</v>
      </c>
      <c r="C7556">
        <v>7503987</v>
      </c>
      <c r="D7556">
        <v>13443</v>
      </c>
    </row>
    <row r="7557" spans="1:4" x14ac:dyDescent="0.25">
      <c r="A7557" t="str">
        <f>T("   701399")</f>
        <v xml:space="preserve">   701399</v>
      </c>
      <c r="B7557" t="s">
        <v>355</v>
      </c>
      <c r="C7557">
        <v>22773716</v>
      </c>
      <c r="D7557">
        <v>51400.63</v>
      </c>
    </row>
    <row r="7558" spans="1:4" x14ac:dyDescent="0.25">
      <c r="A7558" t="str">
        <f>T("   721011")</f>
        <v xml:space="preserve">   721011</v>
      </c>
      <c r="B7558" t="str">
        <f>T("   Produits laminés plats, en fer ou en aciers non alliés, d'une largeur &gt;= 600 mm, laminés à chaud ou à froid, étamés, d'une épaisseur &gt;= 0,5 mm")</f>
        <v xml:space="preserve">   Produits laminés plats, en fer ou en aciers non alliés, d'une largeur &gt;= 600 mm, laminés à chaud ou à froid, étamés, d'une épaisseur &gt;= 0,5 mm</v>
      </c>
      <c r="C7558">
        <v>416524</v>
      </c>
      <c r="D7558">
        <v>1120</v>
      </c>
    </row>
    <row r="7559" spans="1:4" x14ac:dyDescent="0.25">
      <c r="A7559" t="str">
        <f>T("   721590")</f>
        <v xml:space="preserve">   721590</v>
      </c>
      <c r="B7559"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7559">
        <v>1661111</v>
      </c>
      <c r="D7559">
        <v>2787</v>
      </c>
    </row>
    <row r="7560" spans="1:4" x14ac:dyDescent="0.25">
      <c r="A7560" t="str">
        <f>T("   721650")</f>
        <v xml:space="preserve">   721650</v>
      </c>
      <c r="B7560"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7560">
        <v>4369198</v>
      </c>
      <c r="D7560">
        <v>27000</v>
      </c>
    </row>
    <row r="7561" spans="1:4" x14ac:dyDescent="0.25">
      <c r="A7561" t="str">
        <f>T("   721790")</f>
        <v xml:space="preserve">   721790</v>
      </c>
      <c r="B756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7561">
        <v>7232090</v>
      </c>
      <c r="D7561">
        <v>180</v>
      </c>
    </row>
    <row r="7562" spans="1:4" x14ac:dyDescent="0.25">
      <c r="A7562" t="str">
        <f>T("   722699")</f>
        <v xml:space="preserve">   722699</v>
      </c>
      <c r="B7562" t="str">
        <f>T("   PRODUITS LAMINÉS PLATS EN ACIERS ALLIÉS AUTRES QU'ACIERS INOXYDABLES, LARGEUR &lt; 600 MM, LAMINÉS À CHAUD OU À FROID ET AUTREMENT TRAITÉS (SAUF PRODUITS EN ACIERS À COUPE RAPIDE OU ACIERS AU SILICIUM DITS -MAGNÉTIQUES-)")</f>
        <v xml:space="preserve">   PRODUITS LAMINÉS PLATS EN ACIERS ALLIÉS AUTRES QU'ACIERS INOXYDABLES, LARGEUR &lt; 600 MM, LAMINÉS À CHAUD OU À FROID ET AUTREMENT TRAITÉS (SAUF PRODUITS EN ACIERS À COUPE RAPIDE OU ACIERS AU SILICIUM DITS -MAGNÉTIQUES-)</v>
      </c>
      <c r="C7562">
        <v>542806</v>
      </c>
      <c r="D7562">
        <v>1526</v>
      </c>
    </row>
    <row r="7563" spans="1:4" x14ac:dyDescent="0.25">
      <c r="A7563" t="str">
        <f>T("   730690")</f>
        <v xml:space="preserve">   730690</v>
      </c>
      <c r="B756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7563">
        <v>218459</v>
      </c>
      <c r="D7563">
        <v>200</v>
      </c>
    </row>
    <row r="7564" spans="1:4" x14ac:dyDescent="0.25">
      <c r="A7564" t="str">
        <f>T("   731290")</f>
        <v xml:space="preserve">   731290</v>
      </c>
      <c r="B7564" t="str">
        <f>T("   Tresses, élingues et simil., en fer ou en acier (sauf produits isolés pour l'électricité)")</f>
        <v xml:space="preserve">   Tresses, élingues et simil., en fer ou en acier (sauf produits isolés pour l'électricité)</v>
      </c>
      <c r="C7564">
        <v>11636173</v>
      </c>
      <c r="D7564">
        <v>222</v>
      </c>
    </row>
    <row r="7565" spans="1:4" x14ac:dyDescent="0.25">
      <c r="A7565" t="str">
        <f>T("   731450")</f>
        <v xml:space="preserve">   731450</v>
      </c>
      <c r="B7565" t="str">
        <f>T("   Tôles et bandes déployées en fer ou en acier")</f>
        <v xml:space="preserve">   Tôles et bandes déployées en fer ou en acier</v>
      </c>
      <c r="C7565">
        <v>2876527</v>
      </c>
      <c r="D7565">
        <v>6000</v>
      </c>
    </row>
    <row r="7566" spans="1:4" x14ac:dyDescent="0.25">
      <c r="A7566" t="str">
        <f>T("   731815")</f>
        <v xml:space="preserve">   731815</v>
      </c>
      <c r="B7566" t="s">
        <v>380</v>
      </c>
      <c r="C7566">
        <v>426285</v>
      </c>
      <c r="D7566">
        <v>95</v>
      </c>
    </row>
    <row r="7567" spans="1:4" x14ac:dyDescent="0.25">
      <c r="A7567" t="str">
        <f>T("   731821")</f>
        <v xml:space="preserve">   731821</v>
      </c>
      <c r="B7567" t="str">
        <f>T("   Rondelles destinées à faire ressort et autres rondelles de blocage, en fonte, fer ou acier")</f>
        <v xml:space="preserve">   Rondelles destinées à faire ressort et autres rondelles de blocage, en fonte, fer ou acier</v>
      </c>
      <c r="C7567">
        <v>2253760</v>
      </c>
      <c r="D7567">
        <v>3419</v>
      </c>
    </row>
    <row r="7568" spans="1:4" x14ac:dyDescent="0.25">
      <c r="A7568" t="str">
        <f>T("   731829")</f>
        <v xml:space="preserve">   731829</v>
      </c>
      <c r="B7568" t="str">
        <f>T("   Articles de boulonnerie et de visserie non filetés, en fonte, fer ou acier, n.d.a.")</f>
        <v xml:space="preserve">   Articles de boulonnerie et de visserie non filetés, en fonte, fer ou acier, n.d.a.</v>
      </c>
      <c r="C7568">
        <v>2314019</v>
      </c>
      <c r="D7568">
        <v>4540</v>
      </c>
    </row>
    <row r="7569" spans="1:4" x14ac:dyDescent="0.25">
      <c r="A7569" t="str">
        <f>T("   732090")</f>
        <v xml:space="preserve">   732090</v>
      </c>
      <c r="B7569" t="s">
        <v>381</v>
      </c>
      <c r="C7569">
        <v>57050</v>
      </c>
      <c r="D7569">
        <v>40</v>
      </c>
    </row>
    <row r="7570" spans="1:4" x14ac:dyDescent="0.25">
      <c r="A7570" t="str">
        <f>T("   732619")</f>
        <v xml:space="preserve">   732619</v>
      </c>
      <c r="B7570"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7570">
        <v>385960</v>
      </c>
      <c r="D7570">
        <v>25</v>
      </c>
    </row>
    <row r="7571" spans="1:4" x14ac:dyDescent="0.25">
      <c r="A7571" t="str">
        <f>T("   732690")</f>
        <v xml:space="preserve">   732690</v>
      </c>
      <c r="B757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571">
        <v>6927</v>
      </c>
      <c r="D7571">
        <v>25</v>
      </c>
    </row>
    <row r="7572" spans="1:4" x14ac:dyDescent="0.25">
      <c r="A7572" t="str">
        <f>T("   760429")</f>
        <v xml:space="preserve">   760429</v>
      </c>
      <c r="B7572" t="str">
        <f>T("   Barres et profilés pleins en alliages d'aluminium, n.d.a.")</f>
        <v xml:space="preserve">   Barres et profilés pleins en alliages d'aluminium, n.d.a.</v>
      </c>
      <c r="C7572">
        <v>28470032</v>
      </c>
      <c r="D7572">
        <v>36428</v>
      </c>
    </row>
    <row r="7573" spans="1:4" x14ac:dyDescent="0.25">
      <c r="A7573" t="str">
        <f>T("   760611")</f>
        <v xml:space="preserve">   760611</v>
      </c>
      <c r="B7573"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7573">
        <v>54760000</v>
      </c>
      <c r="D7573">
        <v>163512</v>
      </c>
    </row>
    <row r="7574" spans="1:4" x14ac:dyDescent="0.25">
      <c r="A7574" t="str">
        <f>T("   761519")</f>
        <v xml:space="preserve">   761519</v>
      </c>
      <c r="B7574" t="s">
        <v>397</v>
      </c>
      <c r="C7574">
        <v>1200000</v>
      </c>
      <c r="D7574">
        <v>2500</v>
      </c>
    </row>
    <row r="7575" spans="1:4" x14ac:dyDescent="0.25">
      <c r="A7575" t="str">
        <f>T("   761699")</f>
        <v xml:space="preserve">   761699</v>
      </c>
      <c r="B7575" t="str">
        <f>T("   Ouvrages en aluminium, n.d.a.")</f>
        <v xml:space="preserve">   Ouvrages en aluminium, n.d.a.</v>
      </c>
      <c r="C7575">
        <v>2366173</v>
      </c>
      <c r="D7575">
        <v>1993</v>
      </c>
    </row>
    <row r="7576" spans="1:4" x14ac:dyDescent="0.25">
      <c r="A7576" t="str">
        <f>T("   820559")</f>
        <v xml:space="preserve">   820559</v>
      </c>
      <c r="B7576" t="str">
        <f>T("   Outils à main, y.c. -les diamants de vitrier-, en métaux communs, n.d.a.")</f>
        <v xml:space="preserve">   Outils à main, y.c. -les diamants de vitrier-, en métaux communs, n.d.a.</v>
      </c>
      <c r="C7576">
        <v>708775</v>
      </c>
      <c r="D7576">
        <v>903</v>
      </c>
    </row>
    <row r="7577" spans="1:4" x14ac:dyDescent="0.25">
      <c r="A7577" t="str">
        <f>T("   830170")</f>
        <v xml:space="preserve">   830170</v>
      </c>
      <c r="B7577"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7577">
        <v>134328</v>
      </c>
      <c r="D7577">
        <v>30</v>
      </c>
    </row>
    <row r="7578" spans="1:4" x14ac:dyDescent="0.25">
      <c r="A7578" t="str">
        <f>T("   830249")</f>
        <v xml:space="preserve">   830249</v>
      </c>
      <c r="B7578" t="s">
        <v>405</v>
      </c>
      <c r="C7578">
        <v>1055525</v>
      </c>
      <c r="D7578">
        <v>2376</v>
      </c>
    </row>
    <row r="7579" spans="1:4" x14ac:dyDescent="0.25">
      <c r="A7579" t="str">
        <f>T("   841381")</f>
        <v xml:space="preserve">   841381</v>
      </c>
      <c r="B7579" t="s">
        <v>420</v>
      </c>
      <c r="C7579">
        <v>1664840</v>
      </c>
      <c r="D7579">
        <v>615</v>
      </c>
    </row>
    <row r="7580" spans="1:4" x14ac:dyDescent="0.25">
      <c r="A7580" t="str">
        <f>T("   841430")</f>
        <v xml:space="preserve">   841430</v>
      </c>
      <c r="B7580" t="str">
        <f>T("   Compresseurs des types utilisés pour équipements frigorifiques")</f>
        <v xml:space="preserve">   Compresseurs des types utilisés pour équipements frigorifiques</v>
      </c>
      <c r="C7580">
        <v>16829233</v>
      </c>
      <c r="D7580">
        <v>169</v>
      </c>
    </row>
    <row r="7581" spans="1:4" x14ac:dyDescent="0.25">
      <c r="A7581" t="str">
        <f>T("   841440")</f>
        <v xml:space="preserve">   841440</v>
      </c>
      <c r="B7581" t="str">
        <f>T("   Compresseurs d'air montés sur châssis à roues et remorquables")</f>
        <v xml:space="preserve">   Compresseurs d'air montés sur châssis à roues et remorquables</v>
      </c>
      <c r="C7581">
        <v>2001542</v>
      </c>
      <c r="D7581">
        <v>2500</v>
      </c>
    </row>
    <row r="7582" spans="1:4" x14ac:dyDescent="0.25">
      <c r="A7582" t="str">
        <f>T("   841459")</f>
        <v xml:space="preserve">   841459</v>
      </c>
      <c r="B758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7582">
        <v>4733222</v>
      </c>
      <c r="D7582">
        <v>509</v>
      </c>
    </row>
    <row r="7583" spans="1:4" x14ac:dyDescent="0.25">
      <c r="A7583" t="str">
        <f>T("   841490")</f>
        <v xml:space="preserve">   841490</v>
      </c>
      <c r="B7583"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7583">
        <v>407970</v>
      </c>
      <c r="D7583">
        <v>800</v>
      </c>
    </row>
    <row r="7584" spans="1:4" x14ac:dyDescent="0.25">
      <c r="A7584" t="str">
        <f>T("   841510")</f>
        <v xml:space="preserve">   841510</v>
      </c>
      <c r="B7584" t="s">
        <v>422</v>
      </c>
      <c r="C7584">
        <v>6146712</v>
      </c>
      <c r="D7584">
        <v>533</v>
      </c>
    </row>
    <row r="7585" spans="1:4" x14ac:dyDescent="0.25">
      <c r="A7585" t="str">
        <f>T("   841581")</f>
        <v xml:space="preserve">   841581</v>
      </c>
      <c r="B7585" t="s">
        <v>423</v>
      </c>
      <c r="C7585">
        <v>25393826</v>
      </c>
      <c r="D7585">
        <v>633</v>
      </c>
    </row>
    <row r="7586" spans="1:4" x14ac:dyDescent="0.25">
      <c r="A7586" t="str">
        <f>T("   841590")</f>
        <v xml:space="preserve">   841590</v>
      </c>
      <c r="B7586"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7586">
        <v>61710</v>
      </c>
      <c r="D7586">
        <v>15</v>
      </c>
    </row>
    <row r="7587" spans="1:4" x14ac:dyDescent="0.25">
      <c r="A7587" t="str">
        <f>T("   841810")</f>
        <v xml:space="preserve">   841810</v>
      </c>
      <c r="B7587" t="str">
        <f>T("   Réfrigérateurs et congélateurs-conservateurs combinés, avec portes extérieures séparées")</f>
        <v xml:space="preserve">   Réfrigérateurs et congélateurs-conservateurs combinés, avec portes extérieures séparées</v>
      </c>
      <c r="C7587">
        <v>15761975</v>
      </c>
      <c r="D7587">
        <v>19211</v>
      </c>
    </row>
    <row r="7588" spans="1:4" x14ac:dyDescent="0.25">
      <c r="A7588" t="str">
        <f>T("   841829")</f>
        <v xml:space="preserve">   841829</v>
      </c>
      <c r="B7588" t="str">
        <f>T("   Réfrigérateurs ménagers à absorption, non-électriques")</f>
        <v xml:space="preserve">   Réfrigérateurs ménagers à absorption, non-électriques</v>
      </c>
      <c r="C7588">
        <v>834948</v>
      </c>
      <c r="D7588">
        <v>569</v>
      </c>
    </row>
    <row r="7589" spans="1:4" x14ac:dyDescent="0.25">
      <c r="A7589" t="str">
        <f>T("   841830")</f>
        <v xml:space="preserve">   841830</v>
      </c>
      <c r="B7589" t="str">
        <f>T("   Meubles congélateurs-conservateurs du type coffre, capacité &lt;= 800 l")</f>
        <v xml:space="preserve">   Meubles congélateurs-conservateurs du type coffre, capacité &lt;= 800 l</v>
      </c>
      <c r="C7589">
        <v>2801662</v>
      </c>
      <c r="D7589">
        <v>1777</v>
      </c>
    </row>
    <row r="7590" spans="1:4" x14ac:dyDescent="0.25">
      <c r="A7590" t="str">
        <f>T("   841840")</f>
        <v xml:space="preserve">   841840</v>
      </c>
      <c r="B7590" t="str">
        <f>T("   Meubles congélateurs-conservateurs du type armoire, capacité &lt;= 900 l")</f>
        <v xml:space="preserve">   Meubles congélateurs-conservateurs du type armoire, capacité &lt;= 900 l</v>
      </c>
      <c r="C7590">
        <v>13467711</v>
      </c>
      <c r="D7590">
        <v>3122</v>
      </c>
    </row>
    <row r="7591" spans="1:4" x14ac:dyDescent="0.25">
      <c r="A7591" t="str">
        <f>T("   841850")</f>
        <v xml:space="preserve">   841850</v>
      </c>
      <c r="B7591" t="s">
        <v>427</v>
      </c>
      <c r="C7591">
        <v>1225583</v>
      </c>
      <c r="D7591">
        <v>380</v>
      </c>
    </row>
    <row r="7592" spans="1:4" x14ac:dyDescent="0.25">
      <c r="A7592" t="str">
        <f>T("   841869")</f>
        <v xml:space="preserve">   841869</v>
      </c>
      <c r="B759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592">
        <v>674702</v>
      </c>
      <c r="D7592">
        <v>410</v>
      </c>
    </row>
    <row r="7593" spans="1:4" x14ac:dyDescent="0.25">
      <c r="A7593" t="str">
        <f>T("   841899")</f>
        <v xml:space="preserve">   841899</v>
      </c>
      <c r="B759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593">
        <v>2629567</v>
      </c>
      <c r="D7593">
        <v>42</v>
      </c>
    </row>
    <row r="7594" spans="1:4" x14ac:dyDescent="0.25">
      <c r="A7594" t="str">
        <f>T("   842131")</f>
        <v xml:space="preserve">   842131</v>
      </c>
      <c r="B7594" t="str">
        <f>T("   Filtres d'entrée d'air pour moteurs à allumage par étincelles ou par compression")</f>
        <v xml:space="preserve">   Filtres d'entrée d'air pour moteurs à allumage par étincelles ou par compression</v>
      </c>
      <c r="C7594">
        <v>2394634</v>
      </c>
      <c r="D7594">
        <v>672</v>
      </c>
    </row>
    <row r="7595" spans="1:4" x14ac:dyDescent="0.25">
      <c r="A7595" t="str">
        <f>T("   842410")</f>
        <v xml:space="preserve">   842410</v>
      </c>
      <c r="B7595" t="str">
        <f>T("   Extincteurs mécaniques, même chargés (sauf bombes et grenades d'extinction d'incendie)")</f>
        <v xml:space="preserve">   Extincteurs mécaniques, même chargés (sauf bombes et grenades d'extinction d'incendie)</v>
      </c>
      <c r="C7595">
        <v>1156923</v>
      </c>
      <c r="D7595">
        <v>29</v>
      </c>
    </row>
    <row r="7596" spans="1:4" x14ac:dyDescent="0.25">
      <c r="A7596" t="str">
        <f>T("   842420")</f>
        <v xml:space="preserve">   842420</v>
      </c>
      <c r="B7596" t="s">
        <v>430</v>
      </c>
      <c r="C7596">
        <v>713984</v>
      </c>
      <c r="D7596">
        <v>1262</v>
      </c>
    </row>
    <row r="7597" spans="1:4" x14ac:dyDescent="0.25">
      <c r="A7597" t="str">
        <f>T("   842619")</f>
        <v xml:space="preserve">   842619</v>
      </c>
      <c r="B7597" t="str">
        <f>T("   Ponts roulants, grues portiques, portiques de déchargement et ponts-grues (à l'excl. des ponts roulants et poutres roulantes sur supports fixes, portiques mobiles sur pneumatiques, chariots-cavaliers et grues sur portiques)")</f>
        <v xml:space="preserve">   Ponts roulants, grues portiques, portiques de déchargement et ponts-grues (à l'excl. des ponts roulants et poutres roulantes sur supports fixes, portiques mobiles sur pneumatiques, chariots-cavaliers et grues sur portiques)</v>
      </c>
      <c r="C7597">
        <v>1074307</v>
      </c>
      <c r="D7597">
        <v>500</v>
      </c>
    </row>
    <row r="7598" spans="1:4" x14ac:dyDescent="0.25">
      <c r="A7598" t="str">
        <f>T("   842839")</f>
        <v xml:space="preserve">   842839</v>
      </c>
      <c r="B759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598">
        <v>3611716</v>
      </c>
      <c r="D7598">
        <v>15000</v>
      </c>
    </row>
    <row r="7599" spans="1:4" x14ac:dyDescent="0.25">
      <c r="A7599" t="str">
        <f>T("   843049")</f>
        <v xml:space="preserve">   843049</v>
      </c>
      <c r="B7599"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7599">
        <v>2999823</v>
      </c>
      <c r="D7599">
        <v>5000</v>
      </c>
    </row>
    <row r="7600" spans="1:4" x14ac:dyDescent="0.25">
      <c r="A7600" t="str">
        <f>T("   843880")</f>
        <v xml:space="preserve">   843880</v>
      </c>
      <c r="B7600" t="str">
        <f>T("   Machines et appareils pour la préparation ou la fabrication industrielles d'aliments ou de boissons, n.d.a.")</f>
        <v xml:space="preserve">   Machines et appareils pour la préparation ou la fabrication industrielles d'aliments ou de boissons, n.d.a.</v>
      </c>
      <c r="C7600">
        <v>521735</v>
      </c>
      <c r="D7600">
        <v>10</v>
      </c>
    </row>
    <row r="7601" spans="1:4" x14ac:dyDescent="0.25">
      <c r="A7601" t="str">
        <f>T("   846420")</f>
        <v xml:space="preserve">   846420</v>
      </c>
      <c r="B7601" t="str">
        <f>T("   Machines à meuler ou à polir pour le travail de la pierre, des produits céramiques, du béton, de l'amiante-ciment ou de matières minérales simil., ou pour le travail à froid du verre (à l'excl. des machines pour emploi à la main)")</f>
        <v xml:space="preserve">   Machines à meuler ou à polir pour le travail de la pierre, des produits céramiques, du béton, de l'amiante-ciment ou de matières minérales simil., ou pour le travail à froid du verre (à l'excl. des machines pour emploi à la main)</v>
      </c>
      <c r="C7601">
        <v>9086</v>
      </c>
      <c r="D7601">
        <v>24</v>
      </c>
    </row>
    <row r="7602" spans="1:4" x14ac:dyDescent="0.25">
      <c r="A7602" t="str">
        <f>T("   846490")</f>
        <v xml:space="preserve">   846490</v>
      </c>
      <c r="B7602" t="s">
        <v>452</v>
      </c>
      <c r="C7602">
        <v>10657120</v>
      </c>
      <c r="D7602">
        <v>3000</v>
      </c>
    </row>
    <row r="7603" spans="1:4" x14ac:dyDescent="0.25">
      <c r="A7603" t="str">
        <f>T("   847130")</f>
        <v xml:space="preserve">   847130</v>
      </c>
      <c r="B760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603">
        <v>26040300</v>
      </c>
      <c r="D7603">
        <v>915</v>
      </c>
    </row>
    <row r="7604" spans="1:4" x14ac:dyDescent="0.25">
      <c r="A7604" t="str">
        <f>T("   847170")</f>
        <v xml:space="preserve">   847170</v>
      </c>
      <c r="B7604" t="str">
        <f>T("   UNITÉS DE MÉMOIRE POUR MACHINES AUTOMATIQUES DE TRAITEMENT DE L'INFORMATION")</f>
        <v xml:space="preserve">   UNITÉS DE MÉMOIRE POUR MACHINES AUTOMATIQUES DE TRAITEMENT DE L'INFORMATION</v>
      </c>
      <c r="C7604">
        <v>2469689</v>
      </c>
      <c r="D7604">
        <v>8</v>
      </c>
    </row>
    <row r="7605" spans="1:4" x14ac:dyDescent="0.25">
      <c r="A7605" t="str">
        <f>T("   847180")</f>
        <v xml:space="preserve">   847180</v>
      </c>
      <c r="B760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605">
        <v>1774999</v>
      </c>
      <c r="D7605">
        <v>118</v>
      </c>
    </row>
    <row r="7606" spans="1:4" x14ac:dyDescent="0.25">
      <c r="A7606" t="str">
        <f>T("   847190")</f>
        <v xml:space="preserve">   847190</v>
      </c>
      <c r="B760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606">
        <v>9235671</v>
      </c>
      <c r="D7606">
        <v>122.9</v>
      </c>
    </row>
    <row r="7607" spans="1:4" x14ac:dyDescent="0.25">
      <c r="A7607" t="str">
        <f>T("   847431")</f>
        <v xml:space="preserve">   847431</v>
      </c>
      <c r="B7607"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607">
        <v>76174552</v>
      </c>
      <c r="D7607">
        <v>80050</v>
      </c>
    </row>
    <row r="7608" spans="1:4" x14ac:dyDescent="0.25">
      <c r="A7608" t="str">
        <f>T("   847439")</f>
        <v xml:space="preserve">   847439</v>
      </c>
      <c r="B7608"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608">
        <v>197088</v>
      </c>
      <c r="D7608">
        <v>1625</v>
      </c>
    </row>
    <row r="7609" spans="1:4" x14ac:dyDescent="0.25">
      <c r="A7609" t="str">
        <f>T("   847480")</f>
        <v xml:space="preserve">   847480</v>
      </c>
      <c r="B7609" t="s">
        <v>462</v>
      </c>
      <c r="C7609">
        <v>648156</v>
      </c>
      <c r="D7609">
        <v>1626</v>
      </c>
    </row>
    <row r="7610" spans="1:4" x14ac:dyDescent="0.25">
      <c r="A7610" t="str">
        <f>T("   847490")</f>
        <v xml:space="preserve">   847490</v>
      </c>
      <c r="B7610" t="str">
        <f>T("   Parties des machines et appareils pour le travail des matières minérales du n° 8474, n.d.a.")</f>
        <v xml:space="preserve">   Parties des machines et appareils pour le travail des matières minérales du n° 8474, n.d.a.</v>
      </c>
      <c r="C7610">
        <v>68561</v>
      </c>
      <c r="D7610">
        <v>13</v>
      </c>
    </row>
    <row r="7611" spans="1:4" x14ac:dyDescent="0.25">
      <c r="A7611" t="str">
        <f>T("   847982")</f>
        <v xml:space="preserve">   847982</v>
      </c>
      <c r="B7611"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7611">
        <v>17244196</v>
      </c>
      <c r="D7611">
        <v>36360</v>
      </c>
    </row>
    <row r="7612" spans="1:4" x14ac:dyDescent="0.25">
      <c r="A7612" t="str">
        <f>T("   847990")</f>
        <v xml:space="preserve">   847990</v>
      </c>
      <c r="B7612" t="str">
        <f>T("   Parties de machines et appareils, y.c. les appareils mécaniques, n.d.a.")</f>
        <v xml:space="preserve">   Parties de machines et appareils, y.c. les appareils mécaniques, n.d.a.</v>
      </c>
      <c r="C7612">
        <v>679575</v>
      </c>
      <c r="D7612">
        <v>15</v>
      </c>
    </row>
    <row r="7613" spans="1:4" x14ac:dyDescent="0.25">
      <c r="A7613" t="str">
        <f>T("   848060")</f>
        <v xml:space="preserve">   848060</v>
      </c>
      <c r="B7613"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7613">
        <v>657497</v>
      </c>
      <c r="D7613">
        <v>295</v>
      </c>
    </row>
    <row r="7614" spans="1:4" x14ac:dyDescent="0.25">
      <c r="A7614" t="str">
        <f>T("   848120")</f>
        <v xml:space="preserve">   848120</v>
      </c>
      <c r="B7614" t="str">
        <f>T("   Valves pour transmissions oléohydrauliques ou pneumatiques")</f>
        <v xml:space="preserve">   Valves pour transmissions oléohydrauliques ou pneumatiques</v>
      </c>
      <c r="C7614">
        <v>75435</v>
      </c>
      <c r="D7614">
        <v>15</v>
      </c>
    </row>
    <row r="7615" spans="1:4" x14ac:dyDescent="0.25">
      <c r="A7615" t="str">
        <f>T("   848280")</f>
        <v xml:space="preserve">   848280</v>
      </c>
      <c r="B7615" t="s">
        <v>467</v>
      </c>
      <c r="C7615">
        <v>36033</v>
      </c>
      <c r="D7615">
        <v>401</v>
      </c>
    </row>
    <row r="7616" spans="1:4" x14ac:dyDescent="0.25">
      <c r="A7616" t="str">
        <f>T("   848310")</f>
        <v xml:space="preserve">   848310</v>
      </c>
      <c r="B7616" t="str">
        <f>T("   Arbres de transmission pour machines, y.c. -les arbres à cames et les vilebrequins- et manivelles")</f>
        <v xml:space="preserve">   Arbres de transmission pour machines, y.c. -les arbres à cames et les vilebrequins- et manivelles</v>
      </c>
      <c r="C7616">
        <v>8592486</v>
      </c>
      <c r="D7616">
        <v>4939</v>
      </c>
    </row>
    <row r="7617" spans="1:4" x14ac:dyDescent="0.25">
      <c r="A7617" t="str">
        <f>T("   848340")</f>
        <v xml:space="preserve">   848340</v>
      </c>
      <c r="B7617" t="s">
        <v>468</v>
      </c>
      <c r="C7617">
        <v>4400571</v>
      </c>
      <c r="D7617">
        <v>3606.3</v>
      </c>
    </row>
    <row r="7618" spans="1:4" x14ac:dyDescent="0.25">
      <c r="A7618" t="str">
        <f>T("   850110")</f>
        <v xml:space="preserve">   850110</v>
      </c>
      <c r="B7618" t="str">
        <f>T("   Moteurs d'une puissance &lt;= 37,5 W")</f>
        <v xml:space="preserve">   Moteurs d'une puissance &lt;= 37,5 W</v>
      </c>
      <c r="C7618">
        <v>8099944</v>
      </c>
      <c r="D7618">
        <v>2375</v>
      </c>
    </row>
    <row r="7619" spans="1:4" x14ac:dyDescent="0.25">
      <c r="A7619" t="str">
        <f>T("   850140")</f>
        <v xml:space="preserve">   850140</v>
      </c>
      <c r="B7619" t="str">
        <f>T("   Moteurs à courant alternatif, monophasés")</f>
        <v xml:space="preserve">   Moteurs à courant alternatif, monophasés</v>
      </c>
      <c r="C7619">
        <v>101141</v>
      </c>
      <c r="D7619">
        <v>345</v>
      </c>
    </row>
    <row r="7620" spans="1:4" x14ac:dyDescent="0.25">
      <c r="A7620" t="str">
        <f>T("   850211")</f>
        <v xml:space="preserve">   850211</v>
      </c>
      <c r="B7620" t="s">
        <v>470</v>
      </c>
      <c r="C7620">
        <v>126687623</v>
      </c>
      <c r="D7620">
        <v>38548</v>
      </c>
    </row>
    <row r="7621" spans="1:4" x14ac:dyDescent="0.25">
      <c r="A7621" t="str">
        <f>T("   850212")</f>
        <v xml:space="preserve">   850212</v>
      </c>
      <c r="B762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621">
        <v>88952097</v>
      </c>
      <c r="D7621">
        <v>38375</v>
      </c>
    </row>
    <row r="7622" spans="1:4" x14ac:dyDescent="0.25">
      <c r="A7622" t="str">
        <f>T("   850213")</f>
        <v xml:space="preserve">   850213</v>
      </c>
      <c r="B7622" t="s">
        <v>471</v>
      </c>
      <c r="C7622">
        <v>138922942</v>
      </c>
      <c r="D7622">
        <v>29103</v>
      </c>
    </row>
    <row r="7623" spans="1:4" x14ac:dyDescent="0.25">
      <c r="A7623" t="str">
        <f>T("   850220")</f>
        <v xml:space="preserve">   850220</v>
      </c>
      <c r="B7623" t="s">
        <v>472</v>
      </c>
      <c r="C7623">
        <v>14737795</v>
      </c>
      <c r="D7623">
        <v>8770</v>
      </c>
    </row>
    <row r="7624" spans="1:4" x14ac:dyDescent="0.25">
      <c r="A7624" t="str">
        <f>T("   850239")</f>
        <v xml:space="preserve">   850239</v>
      </c>
      <c r="B7624" t="str">
        <f>T("   Groupes électrogènes (autres qu'à énergie éolienne et à moteurs à piston)")</f>
        <v xml:space="preserve">   Groupes électrogènes (autres qu'à énergie éolienne et à moteurs à piston)</v>
      </c>
      <c r="C7624">
        <v>16896525</v>
      </c>
      <c r="D7624">
        <v>27270</v>
      </c>
    </row>
    <row r="7625" spans="1:4" x14ac:dyDescent="0.25">
      <c r="A7625" t="str">
        <f>T("   850300")</f>
        <v xml:space="preserve">   850300</v>
      </c>
      <c r="B762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625">
        <v>7899534</v>
      </c>
      <c r="D7625">
        <v>13802</v>
      </c>
    </row>
    <row r="7626" spans="1:4" x14ac:dyDescent="0.25">
      <c r="A7626" t="str">
        <f>T("   850421")</f>
        <v xml:space="preserve">   850421</v>
      </c>
      <c r="B7626" t="str">
        <f>T("   Transformateurs à diélectrique liquide, puissance &lt;= 650 kVA")</f>
        <v xml:space="preserve">   Transformateurs à diélectrique liquide, puissance &lt;= 650 kVA</v>
      </c>
      <c r="C7626">
        <v>85257</v>
      </c>
      <c r="D7626">
        <v>1000</v>
      </c>
    </row>
    <row r="7627" spans="1:4" x14ac:dyDescent="0.25">
      <c r="A7627" t="str">
        <f>T("   851430")</f>
        <v xml:space="preserve">   851430</v>
      </c>
      <c r="B7627"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7627">
        <v>8917692</v>
      </c>
      <c r="D7627">
        <v>4160</v>
      </c>
    </row>
    <row r="7628" spans="1:4" x14ac:dyDescent="0.25">
      <c r="A7628" t="str">
        <f>T("   851490")</f>
        <v xml:space="preserve">   851490</v>
      </c>
      <c r="B7628" t="s">
        <v>476</v>
      </c>
      <c r="C7628">
        <v>1790716</v>
      </c>
      <c r="D7628">
        <v>2832</v>
      </c>
    </row>
    <row r="7629" spans="1:4" x14ac:dyDescent="0.25">
      <c r="A7629" t="str">
        <f>T("   851529")</f>
        <v xml:space="preserve">   851529</v>
      </c>
      <c r="B7629" t="str">
        <f>T("   MACHINES ET APPAREILS POUR LE SOUDAGE DES MÉTAUX PAR RÉSISTANCE, NON-AUTOMATIQUES")</f>
        <v xml:space="preserve">   MACHINES ET APPAREILS POUR LE SOUDAGE DES MÉTAUX PAR RÉSISTANCE, NON-AUTOMATIQUES</v>
      </c>
      <c r="C7629">
        <v>319714</v>
      </c>
      <c r="D7629">
        <v>1000</v>
      </c>
    </row>
    <row r="7630" spans="1:4" x14ac:dyDescent="0.25">
      <c r="A7630" t="str">
        <f>T("   851671")</f>
        <v xml:space="preserve">   851671</v>
      </c>
      <c r="B7630" t="str">
        <f>T("   Appareils électriques pour la préparation du café ou du thé, pour usages domestiques")</f>
        <v xml:space="preserve">   Appareils électriques pour la préparation du café ou du thé, pour usages domestiques</v>
      </c>
      <c r="C7630">
        <v>639403</v>
      </c>
      <c r="D7630">
        <v>2500</v>
      </c>
    </row>
    <row r="7631" spans="1:4" x14ac:dyDescent="0.25">
      <c r="A7631" t="str">
        <f>T("   851769")</f>
        <v xml:space="preserve">   851769</v>
      </c>
      <c r="B7631" t="s">
        <v>481</v>
      </c>
      <c r="C7631">
        <v>3739201</v>
      </c>
      <c r="D7631">
        <v>64</v>
      </c>
    </row>
    <row r="7632" spans="1:4" x14ac:dyDescent="0.25">
      <c r="A7632" t="str">
        <f>T("   851850")</f>
        <v xml:space="preserve">   851850</v>
      </c>
      <c r="B7632" t="str">
        <f>T("   Appareils électriques d'amplification du son")</f>
        <v xml:space="preserve">   Appareils électriques d'amplification du son</v>
      </c>
      <c r="C7632">
        <v>5328560</v>
      </c>
      <c r="D7632">
        <v>1409</v>
      </c>
    </row>
    <row r="7633" spans="1:4" x14ac:dyDescent="0.25">
      <c r="A7633" t="str">
        <f>T("   852329")</f>
        <v xml:space="preserve">   852329</v>
      </c>
      <c r="B7633"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7633">
        <v>100777850</v>
      </c>
      <c r="D7633">
        <v>1</v>
      </c>
    </row>
    <row r="7634" spans="1:4" x14ac:dyDescent="0.25">
      <c r="A7634" t="str">
        <f>T("   853080")</f>
        <v xml:space="preserve">   853080</v>
      </c>
      <c r="B7634"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7634">
        <v>136547927</v>
      </c>
      <c r="D7634">
        <v>3407</v>
      </c>
    </row>
    <row r="7635" spans="1:4" x14ac:dyDescent="0.25">
      <c r="A7635" t="str">
        <f>T("   853110")</f>
        <v xml:space="preserve">   853110</v>
      </c>
      <c r="B7635" t="str">
        <f>T("   Avertisseurs électriques pour la protection contre le vol ou l'incendie et appareils simil.")</f>
        <v xml:space="preserve">   Avertisseurs électriques pour la protection contre le vol ou l'incendie et appareils simil.</v>
      </c>
      <c r="C7635">
        <v>9994252</v>
      </c>
      <c r="D7635">
        <v>1043</v>
      </c>
    </row>
    <row r="7636" spans="1:4" x14ac:dyDescent="0.25">
      <c r="A7636" t="str">
        <f>T("   853540")</f>
        <v xml:space="preserve">   853540</v>
      </c>
      <c r="B7636" t="str">
        <f>T("   Parafoudres, limiteurs de tension et étaleurs d'ondes, pour une tension &gt; 1.000 V")</f>
        <v xml:space="preserve">   Parafoudres, limiteurs de tension et étaleurs d'ondes, pour une tension &gt; 1.000 V</v>
      </c>
      <c r="C7636">
        <v>29307</v>
      </c>
      <c r="D7636">
        <v>80</v>
      </c>
    </row>
    <row r="7637" spans="1:4" x14ac:dyDescent="0.25">
      <c r="A7637" t="str">
        <f>T("   853669")</f>
        <v xml:space="preserve">   853669</v>
      </c>
      <c r="B7637" t="str">
        <f>T("   Fiches et prises de courant, pour une tension &lt;= 1.000 V (sauf douilles pour lampes)")</f>
        <v xml:space="preserve">   Fiches et prises de courant, pour une tension &lt;= 1.000 V (sauf douilles pour lampes)</v>
      </c>
      <c r="C7637">
        <v>277085</v>
      </c>
      <c r="D7637">
        <v>20</v>
      </c>
    </row>
    <row r="7638" spans="1:4" x14ac:dyDescent="0.25">
      <c r="A7638" t="str">
        <f>T("   853720")</f>
        <v xml:space="preserve">   853720</v>
      </c>
      <c r="B763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638">
        <v>455960</v>
      </c>
      <c r="D7638">
        <v>500</v>
      </c>
    </row>
    <row r="7639" spans="1:4" x14ac:dyDescent="0.25">
      <c r="A7639" t="str">
        <f>T("   854390")</f>
        <v xml:space="preserve">   854390</v>
      </c>
      <c r="B7639" t="str">
        <f>T("   PARTIES DE MACHINES ET APPAREILS ÉLECTRIQUES AYANT UNE FONCTION PROPRE, N.D.A. DANS LE CHAPITRE 85")</f>
        <v xml:space="preserve">   PARTIES DE MACHINES ET APPAREILS ÉLECTRIQUES AYANT UNE FONCTION PROPRE, N.D.A. DANS LE CHAPITRE 85</v>
      </c>
      <c r="C7639">
        <v>1206340</v>
      </c>
      <c r="D7639">
        <v>126</v>
      </c>
    </row>
    <row r="7640" spans="1:4" x14ac:dyDescent="0.25">
      <c r="A7640" t="str">
        <f>T("   854420")</f>
        <v xml:space="preserve">   854420</v>
      </c>
      <c r="B7640" t="str">
        <f>T("   Câbles coaxiaux et autres conducteurs électriques coaxiaux, isolés")</f>
        <v xml:space="preserve">   Câbles coaxiaux et autres conducteurs électriques coaxiaux, isolés</v>
      </c>
      <c r="C7640">
        <v>4046324</v>
      </c>
      <c r="D7640">
        <v>1315</v>
      </c>
    </row>
    <row r="7641" spans="1:4" x14ac:dyDescent="0.25">
      <c r="A7641" t="str">
        <f>T("   870899")</f>
        <v xml:space="preserve">   870899</v>
      </c>
      <c r="B764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641">
        <v>3086394</v>
      </c>
      <c r="D7641">
        <v>1734</v>
      </c>
    </row>
    <row r="7642" spans="1:4" x14ac:dyDescent="0.25">
      <c r="A7642" t="str">
        <f>T("   870919")</f>
        <v xml:space="preserve">   870919</v>
      </c>
      <c r="B7642"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7642">
        <v>3542184</v>
      </c>
      <c r="D7642">
        <v>22754</v>
      </c>
    </row>
    <row r="7643" spans="1:4" x14ac:dyDescent="0.25">
      <c r="A7643" t="str">
        <f>T("   902580")</f>
        <v xml:space="preserve">   902580</v>
      </c>
      <c r="B7643" t="s">
        <v>531</v>
      </c>
      <c r="C7643">
        <v>102068</v>
      </c>
      <c r="D7643">
        <v>1.5</v>
      </c>
    </row>
    <row r="7644" spans="1:4" x14ac:dyDescent="0.25">
      <c r="A7644" t="str">
        <f>T("   940320")</f>
        <v xml:space="preserve">   940320</v>
      </c>
      <c r="B7644"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7644">
        <v>3410919</v>
      </c>
      <c r="D7644">
        <v>8161</v>
      </c>
    </row>
    <row r="7645" spans="1:4" x14ac:dyDescent="0.25">
      <c r="A7645" t="str">
        <f>T("   950590")</f>
        <v xml:space="preserve">   950590</v>
      </c>
      <c r="B7645" t="str">
        <f>T("   Articles pour fêtes, carnaval ou autres divertissements, y.c. les articles de magie et articles-surprises, n.d.a.")</f>
        <v xml:space="preserve">   Articles pour fêtes, carnaval ou autres divertissements, y.c. les articles de magie et articles-surprises, n.d.a.</v>
      </c>
      <c r="C7645">
        <v>3674472</v>
      </c>
      <c r="D7645">
        <v>6350</v>
      </c>
    </row>
    <row r="7646" spans="1:4" x14ac:dyDescent="0.25">
      <c r="A7646" t="str">
        <f>T("   960321")</f>
        <v xml:space="preserve">   960321</v>
      </c>
      <c r="B7646" t="str">
        <f>T("   Brosses à dent, y.c. brosses à prothèses dentaires")</f>
        <v xml:space="preserve">   Brosses à dent, y.c. brosses à prothèses dentaires</v>
      </c>
      <c r="C7646">
        <v>118998</v>
      </c>
      <c r="D7646">
        <v>30</v>
      </c>
    </row>
    <row r="7647" spans="1:4" x14ac:dyDescent="0.25">
      <c r="A7647" t="str">
        <f>T("   960340")</f>
        <v xml:space="preserve">   960340</v>
      </c>
      <c r="B7647"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7647">
        <v>229052</v>
      </c>
      <c r="D7647">
        <v>212</v>
      </c>
    </row>
    <row r="7648" spans="1:4" x14ac:dyDescent="0.25">
      <c r="A7648" t="str">
        <f>T("   961490")</f>
        <v xml:space="preserve">   961490</v>
      </c>
      <c r="B7648" t="str">
        <f>T("   Parties de pipes n.d.a.; fume-cigare et fume-cigarette et leurs parties, n.d.a.")</f>
        <v xml:space="preserve">   Parties de pipes n.d.a.; fume-cigare et fume-cigarette et leurs parties, n.d.a.</v>
      </c>
      <c r="C7648">
        <v>518842</v>
      </c>
      <c r="D7648">
        <v>1933</v>
      </c>
    </row>
    <row r="7649" spans="1:4" x14ac:dyDescent="0.25">
      <c r="A7649" t="str">
        <f>T("LC")</f>
        <v>LC</v>
      </c>
      <c r="B7649" t="str">
        <f>T("Sainte-Lucie")</f>
        <v>Sainte-Lucie</v>
      </c>
    </row>
    <row r="7650" spans="1:4" x14ac:dyDescent="0.25">
      <c r="A7650" t="str">
        <f>T("   ZZ_Total_Produit_SH6")</f>
        <v xml:space="preserve">   ZZ_Total_Produit_SH6</v>
      </c>
      <c r="B7650" t="str">
        <f>T("   ZZ_Total_Produit_SH6")</f>
        <v xml:space="preserve">   ZZ_Total_Produit_SH6</v>
      </c>
      <c r="C7650">
        <v>38192</v>
      </c>
      <c r="D7650">
        <v>64</v>
      </c>
    </row>
    <row r="7651" spans="1:4" x14ac:dyDescent="0.25">
      <c r="A7651" t="str">
        <f>T("   491000")</f>
        <v xml:space="preserve">   491000</v>
      </c>
      <c r="B7651" t="str">
        <f>T("   Calendriers de tous genres, imprimés, y.c. les blocs de calendriers à effeuiller")</f>
        <v xml:space="preserve">   Calendriers de tous genres, imprimés, y.c. les blocs de calendriers à effeuiller</v>
      </c>
      <c r="C7651">
        <v>38192</v>
      </c>
      <c r="D7651">
        <v>64</v>
      </c>
    </row>
    <row r="7652" spans="1:4" x14ac:dyDescent="0.25">
      <c r="A7652" t="str">
        <f>T("LI")</f>
        <v>LI</v>
      </c>
      <c r="B7652" t="str">
        <f>T("Liechtenstein")</f>
        <v>Liechtenstein</v>
      </c>
    </row>
    <row r="7653" spans="1:4" x14ac:dyDescent="0.25">
      <c r="A7653" t="str">
        <f>T("   ZZ_Total_Produit_SH6")</f>
        <v xml:space="preserve">   ZZ_Total_Produit_SH6</v>
      </c>
      <c r="B7653" t="str">
        <f>T("   ZZ_Total_Produit_SH6")</f>
        <v xml:space="preserve">   ZZ_Total_Produit_SH6</v>
      </c>
      <c r="C7653">
        <v>3472830</v>
      </c>
      <c r="D7653">
        <v>1362</v>
      </c>
    </row>
    <row r="7654" spans="1:4" x14ac:dyDescent="0.25">
      <c r="A7654" t="str">
        <f>T("   490199")</f>
        <v xml:space="preserve">   490199</v>
      </c>
      <c r="B765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54">
        <v>1099580</v>
      </c>
      <c r="D7654">
        <v>1221</v>
      </c>
    </row>
    <row r="7655" spans="1:4" x14ac:dyDescent="0.25">
      <c r="A7655" t="str">
        <f>T("   630533")</f>
        <v xml:space="preserve">   630533</v>
      </c>
      <c r="B765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7655">
        <v>114465</v>
      </c>
      <c r="D7655">
        <v>72</v>
      </c>
    </row>
    <row r="7656" spans="1:4" x14ac:dyDescent="0.25">
      <c r="A7656" t="str">
        <f>T("   847180")</f>
        <v xml:space="preserve">   847180</v>
      </c>
      <c r="B765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656">
        <v>684459</v>
      </c>
      <c r="D7656">
        <v>30</v>
      </c>
    </row>
    <row r="7657" spans="1:4" x14ac:dyDescent="0.25">
      <c r="A7657" t="str">
        <f>T("   851769")</f>
        <v xml:space="preserve">   851769</v>
      </c>
      <c r="B7657" t="s">
        <v>481</v>
      </c>
      <c r="C7657">
        <v>1213313</v>
      </c>
      <c r="D7657">
        <v>29</v>
      </c>
    </row>
    <row r="7658" spans="1:4" x14ac:dyDescent="0.25">
      <c r="A7658" t="str">
        <f>T("   851770")</f>
        <v xml:space="preserve">   851770</v>
      </c>
      <c r="B7658"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7658">
        <v>361013</v>
      </c>
      <c r="D7658">
        <v>10</v>
      </c>
    </row>
    <row r="7659" spans="1:4" x14ac:dyDescent="0.25">
      <c r="A7659" t="str">
        <f>T("LK")</f>
        <v>LK</v>
      </c>
      <c r="B7659" t="str">
        <f>T("Sri Lanka")</f>
        <v>Sri Lanka</v>
      </c>
    </row>
    <row r="7660" spans="1:4" x14ac:dyDescent="0.25">
      <c r="A7660" t="str">
        <f>T("   ZZ_Total_Produit_SH6")</f>
        <v xml:space="preserve">   ZZ_Total_Produit_SH6</v>
      </c>
      <c r="B7660" t="str">
        <f>T("   ZZ_Total_Produit_SH6")</f>
        <v xml:space="preserve">   ZZ_Total_Produit_SH6</v>
      </c>
      <c r="C7660">
        <v>12327119</v>
      </c>
      <c r="D7660">
        <v>28821.4</v>
      </c>
    </row>
    <row r="7661" spans="1:4" x14ac:dyDescent="0.25">
      <c r="A7661" t="str">
        <f>T("   090240")</f>
        <v xml:space="preserve">   090240</v>
      </c>
      <c r="B7661" t="s">
        <v>28</v>
      </c>
      <c r="C7661">
        <v>9024365</v>
      </c>
      <c r="D7661">
        <v>22265</v>
      </c>
    </row>
    <row r="7662" spans="1:4" x14ac:dyDescent="0.25">
      <c r="A7662" t="str">
        <f>T("   847190")</f>
        <v xml:space="preserve">   847190</v>
      </c>
      <c r="B766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662">
        <v>140371</v>
      </c>
      <c r="D7662">
        <v>0.4</v>
      </c>
    </row>
    <row r="7663" spans="1:4" x14ac:dyDescent="0.25">
      <c r="A7663" t="str">
        <f>T("   960310")</f>
        <v xml:space="preserve">   960310</v>
      </c>
      <c r="B7663" t="str">
        <f>T("   Balais et balayettes consistant en matières végétales en bottes liées")</f>
        <v xml:space="preserve">   Balais et balayettes consistant en matières végétales en bottes liées</v>
      </c>
      <c r="C7663">
        <v>3162383</v>
      </c>
      <c r="D7663">
        <v>6556</v>
      </c>
    </row>
    <row r="7664" spans="1:4" x14ac:dyDescent="0.25">
      <c r="A7664" t="str">
        <f>T("LR")</f>
        <v>LR</v>
      </c>
      <c r="B7664" t="str">
        <f>T("Libéria")</f>
        <v>Libéria</v>
      </c>
    </row>
    <row r="7665" spans="1:4" x14ac:dyDescent="0.25">
      <c r="A7665" t="str">
        <f>T("   ZZ_Total_Produit_SH6")</f>
        <v xml:space="preserve">   ZZ_Total_Produit_SH6</v>
      </c>
      <c r="B7665" t="str">
        <f>T("   ZZ_Total_Produit_SH6")</f>
        <v xml:space="preserve">   ZZ_Total_Produit_SH6</v>
      </c>
      <c r="C7665">
        <v>1774768028.0999999</v>
      </c>
      <c r="D7665">
        <v>6415100</v>
      </c>
    </row>
    <row r="7666" spans="1:4" x14ac:dyDescent="0.25">
      <c r="A7666" t="str">
        <f>T("   100630")</f>
        <v xml:space="preserve">   100630</v>
      </c>
      <c r="B7666" t="str">
        <f>T("   Riz semi-blanchi ou blanchi, même poli ou glacé")</f>
        <v xml:space="preserve">   Riz semi-blanchi ou blanchi, même poli ou glacé</v>
      </c>
      <c r="C7666">
        <v>1774768028.0999999</v>
      </c>
      <c r="D7666">
        <v>6415100</v>
      </c>
    </row>
    <row r="7667" spans="1:4" x14ac:dyDescent="0.25">
      <c r="A7667" t="str">
        <f>T("LT")</f>
        <v>LT</v>
      </c>
      <c r="B7667" t="str">
        <f>T("Lituanie")</f>
        <v>Lituanie</v>
      </c>
    </row>
    <row r="7668" spans="1:4" x14ac:dyDescent="0.25">
      <c r="A7668" t="str">
        <f>T("   ZZ_Total_Produit_SH6")</f>
        <v xml:space="preserve">   ZZ_Total_Produit_SH6</v>
      </c>
      <c r="B7668" t="str">
        <f>T("   ZZ_Total_Produit_SH6")</f>
        <v xml:space="preserve">   ZZ_Total_Produit_SH6</v>
      </c>
      <c r="C7668">
        <v>497783205</v>
      </c>
      <c r="D7668">
        <v>846588.32</v>
      </c>
    </row>
    <row r="7669" spans="1:4" x14ac:dyDescent="0.25">
      <c r="A7669" t="str">
        <f>T("   630900")</f>
        <v xml:space="preserve">   630900</v>
      </c>
      <c r="B7669" t="s">
        <v>300</v>
      </c>
      <c r="C7669">
        <v>486224991</v>
      </c>
      <c r="D7669">
        <v>805307</v>
      </c>
    </row>
    <row r="7670" spans="1:4" x14ac:dyDescent="0.25">
      <c r="A7670" t="str">
        <f>T("   841829")</f>
        <v xml:space="preserve">   841829</v>
      </c>
      <c r="B7670" t="str">
        <f>T("   Réfrigérateurs ménagers à absorption, non-électriques")</f>
        <v xml:space="preserve">   Réfrigérateurs ménagers à absorption, non-électriques</v>
      </c>
      <c r="C7670">
        <v>3000000</v>
      </c>
      <c r="D7670">
        <v>40000</v>
      </c>
    </row>
    <row r="7671" spans="1:4" x14ac:dyDescent="0.25">
      <c r="A7671" t="str">
        <f>T("   851769")</f>
        <v xml:space="preserve">   851769</v>
      </c>
      <c r="B7671" t="s">
        <v>481</v>
      </c>
      <c r="C7671">
        <v>7358214</v>
      </c>
      <c r="D7671">
        <v>36.32</v>
      </c>
    </row>
    <row r="7672" spans="1:4" x14ac:dyDescent="0.25">
      <c r="A7672" t="str">
        <f>T("   870323")</f>
        <v xml:space="preserve">   870323</v>
      </c>
      <c r="B7672" t="s">
        <v>507</v>
      </c>
      <c r="C7672">
        <v>1200000</v>
      </c>
      <c r="D7672">
        <v>1245</v>
      </c>
    </row>
    <row r="7673" spans="1:4" x14ac:dyDescent="0.25">
      <c r="A7673" t="str">
        <f>T("LU")</f>
        <v>LU</v>
      </c>
      <c r="B7673" t="str">
        <f>T("Luxembourg")</f>
        <v>Luxembourg</v>
      </c>
    </row>
    <row r="7674" spans="1:4" x14ac:dyDescent="0.25">
      <c r="A7674" t="str">
        <f>T("   ZZ_Total_Produit_SH6")</f>
        <v xml:space="preserve">   ZZ_Total_Produit_SH6</v>
      </c>
      <c r="B7674" t="str">
        <f>T("   ZZ_Total_Produit_SH6")</f>
        <v xml:space="preserve">   ZZ_Total_Produit_SH6</v>
      </c>
      <c r="C7674">
        <v>1603443916</v>
      </c>
      <c r="D7674">
        <v>4777982.66</v>
      </c>
    </row>
    <row r="7675" spans="1:4" x14ac:dyDescent="0.25">
      <c r="A7675" t="str">
        <f>T("   300190")</f>
        <v xml:space="preserve">   300190</v>
      </c>
      <c r="B7675" t="str">
        <f>T("   GLANDES ET AUTRES ORGANES, À USAGES OPOTHÉRAPIQUES, À L'ÉTAT DESSÉCHÉ, MÊME PULVÉRISÉS; HÉPARINE ET SES SELS; AUTRES SUBSTANCES HUMAINES OU ANIMALES PRÉPARÉES À DES FINS THÉRAPEUTIQUES OU PROPHYLACTIQUES, N.D.A.")</f>
        <v xml:space="preserve">   GLANDES ET AUTRES ORGANES, À USAGES OPOTHÉRAPIQUES, À L'ÉTAT DESSÉCHÉ, MÊME PULVÉRISÉS; HÉPARINE ET SES SELS; AUTRES SUBSTANCES HUMAINES OU ANIMALES PRÉPARÉES À DES FINS THÉRAPEUTIQUES OU PROPHYLACTIQUES, N.D.A.</v>
      </c>
      <c r="C7675">
        <v>4063173</v>
      </c>
      <c r="D7675">
        <v>1500</v>
      </c>
    </row>
    <row r="7676" spans="1:4" x14ac:dyDescent="0.25">
      <c r="A7676" t="str">
        <f>T("   300490")</f>
        <v xml:space="preserve">   300490</v>
      </c>
      <c r="B7676" t="s">
        <v>84</v>
      </c>
      <c r="C7676">
        <v>25469567</v>
      </c>
      <c r="D7676">
        <v>1500</v>
      </c>
    </row>
    <row r="7677" spans="1:4" x14ac:dyDescent="0.25">
      <c r="A7677" t="str">
        <f>T("   490199")</f>
        <v xml:space="preserve">   490199</v>
      </c>
      <c r="B767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77">
        <v>4099750</v>
      </c>
      <c r="D7677">
        <v>2150</v>
      </c>
    </row>
    <row r="7678" spans="1:4" x14ac:dyDescent="0.25">
      <c r="A7678" t="str">
        <f>T("   721049")</f>
        <v xml:space="preserve">   721049</v>
      </c>
      <c r="B767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7678">
        <v>61138096</v>
      </c>
      <c r="D7678">
        <v>104372</v>
      </c>
    </row>
    <row r="7679" spans="1:4" x14ac:dyDescent="0.25">
      <c r="A7679" t="str">
        <f>T("   721399")</f>
        <v xml:space="preserve">   721399</v>
      </c>
      <c r="B7679" t="s">
        <v>365</v>
      </c>
      <c r="C7679">
        <v>1506858140</v>
      </c>
      <c r="D7679">
        <v>4668000</v>
      </c>
    </row>
    <row r="7680" spans="1:4" x14ac:dyDescent="0.25">
      <c r="A7680" t="str">
        <f>T("   851770")</f>
        <v xml:space="preserve">   851770</v>
      </c>
      <c r="B7680"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7680">
        <v>1209592</v>
      </c>
      <c r="D7680">
        <v>271</v>
      </c>
    </row>
    <row r="7681" spans="1:4" x14ac:dyDescent="0.25">
      <c r="A7681" t="str">
        <f>T("   901819")</f>
        <v xml:space="preserve">   901819</v>
      </c>
      <c r="B7681" t="s">
        <v>527</v>
      </c>
      <c r="C7681">
        <v>555598</v>
      </c>
      <c r="D7681">
        <v>63</v>
      </c>
    </row>
    <row r="7682" spans="1:4" x14ac:dyDescent="0.25">
      <c r="A7682" t="str">
        <f>T("   950300")</f>
        <v xml:space="preserve">   950300</v>
      </c>
      <c r="B7682"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7682">
        <v>50000</v>
      </c>
      <c r="D7682">
        <v>126.66</v>
      </c>
    </row>
    <row r="7683" spans="1:4" x14ac:dyDescent="0.25">
      <c r="A7683" t="str">
        <f>T("LV")</f>
        <v>LV</v>
      </c>
      <c r="B7683" t="str">
        <f>T("Lettonie")</f>
        <v>Lettonie</v>
      </c>
    </row>
    <row r="7684" spans="1:4" x14ac:dyDescent="0.25">
      <c r="A7684" t="str">
        <f>T("   ZZ_Total_Produit_SH6")</f>
        <v xml:space="preserve">   ZZ_Total_Produit_SH6</v>
      </c>
      <c r="B7684" t="str">
        <f>T("   ZZ_Total_Produit_SH6")</f>
        <v xml:space="preserve">   ZZ_Total_Produit_SH6</v>
      </c>
      <c r="C7684">
        <v>25253600.136</v>
      </c>
      <c r="D7684">
        <v>67740</v>
      </c>
    </row>
    <row r="7685" spans="1:4" x14ac:dyDescent="0.25">
      <c r="A7685" t="str">
        <f>T("   110100")</f>
        <v xml:space="preserve">   110100</v>
      </c>
      <c r="B7685" t="str">
        <f>T("   Farines de froment [blé] ou de méteil")</f>
        <v xml:space="preserve">   Farines de froment [blé] ou de méteil</v>
      </c>
      <c r="C7685">
        <v>13391883.136</v>
      </c>
      <c r="D7685">
        <v>50200</v>
      </c>
    </row>
    <row r="7686" spans="1:4" x14ac:dyDescent="0.25">
      <c r="A7686" t="str">
        <f>T("   151620")</f>
        <v xml:space="preserve">   151620</v>
      </c>
      <c r="B768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686">
        <v>5500000</v>
      </c>
      <c r="D7686">
        <v>6731</v>
      </c>
    </row>
    <row r="7687" spans="1:4" x14ac:dyDescent="0.25">
      <c r="A7687" t="str">
        <f>T("   220860")</f>
        <v xml:space="preserve">   220860</v>
      </c>
      <c r="B7687" t="str">
        <f>T("   VODKA")</f>
        <v xml:space="preserve">   VODKA</v>
      </c>
      <c r="C7687">
        <v>6361717</v>
      </c>
      <c r="D7687">
        <v>10809</v>
      </c>
    </row>
    <row r="7688" spans="1:4" x14ac:dyDescent="0.25">
      <c r="A7688" t="str">
        <f>T("LY")</f>
        <v>LY</v>
      </c>
      <c r="B7688" t="str">
        <f>T("Libyenne, Jamahiriya Arabe")</f>
        <v>Libyenne, Jamahiriya Arabe</v>
      </c>
    </row>
    <row r="7689" spans="1:4" x14ac:dyDescent="0.25">
      <c r="A7689" t="str">
        <f>T("   ZZ_Total_Produit_SH6")</f>
        <v xml:space="preserve">   ZZ_Total_Produit_SH6</v>
      </c>
      <c r="B7689" t="str">
        <f>T("   ZZ_Total_Produit_SH6")</f>
        <v xml:space="preserve">   ZZ_Total_Produit_SH6</v>
      </c>
      <c r="C7689">
        <v>28402523</v>
      </c>
      <c r="D7689">
        <v>13360.5</v>
      </c>
    </row>
    <row r="7690" spans="1:4" x14ac:dyDescent="0.25">
      <c r="A7690" t="str">
        <f>T("   490199")</f>
        <v xml:space="preserve">   490199</v>
      </c>
      <c r="B769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90">
        <v>200000</v>
      </c>
      <c r="D7690">
        <v>300</v>
      </c>
    </row>
    <row r="7691" spans="1:4" x14ac:dyDescent="0.25">
      <c r="A7691" t="str">
        <f>T("   620590")</f>
        <v xml:space="preserve">   620590</v>
      </c>
      <c r="B769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691">
        <v>1700000</v>
      </c>
      <c r="D7691">
        <v>2100</v>
      </c>
    </row>
    <row r="7692" spans="1:4" x14ac:dyDescent="0.25">
      <c r="A7692" t="str">
        <f>T("   732394")</f>
        <v xml:space="preserve">   732394</v>
      </c>
      <c r="B7692" t="s">
        <v>389</v>
      </c>
      <c r="C7692">
        <v>500000</v>
      </c>
      <c r="D7692">
        <v>1100</v>
      </c>
    </row>
    <row r="7693" spans="1:4" x14ac:dyDescent="0.25">
      <c r="A7693" t="str">
        <f>T("   732399")</f>
        <v xml:space="preserve">   732399</v>
      </c>
      <c r="B7693" t="s">
        <v>390</v>
      </c>
      <c r="C7693">
        <v>1000000</v>
      </c>
      <c r="D7693">
        <v>700</v>
      </c>
    </row>
    <row r="7694" spans="1:4" x14ac:dyDescent="0.25">
      <c r="A7694" t="str">
        <f>T("   847180")</f>
        <v xml:space="preserve">   847180</v>
      </c>
      <c r="B769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694">
        <v>19235713</v>
      </c>
      <c r="D7694">
        <v>60</v>
      </c>
    </row>
    <row r="7695" spans="1:4" x14ac:dyDescent="0.25">
      <c r="A7695" t="str">
        <f>T("   853400")</f>
        <v xml:space="preserve">   853400</v>
      </c>
      <c r="B7695" t="str">
        <f>T("   Circuits imprimés")</f>
        <v xml:space="preserve">   Circuits imprimés</v>
      </c>
      <c r="C7695">
        <v>666810</v>
      </c>
      <c r="D7695">
        <v>0.5</v>
      </c>
    </row>
    <row r="7696" spans="1:4" x14ac:dyDescent="0.25">
      <c r="A7696" t="str">
        <f>T("   940350")</f>
        <v xml:space="preserve">   940350</v>
      </c>
      <c r="B7696" t="str">
        <f>T("   Meubles pour chambres à coucher, en bois (sauf sièges)")</f>
        <v xml:space="preserve">   Meubles pour chambres à coucher, en bois (sauf sièges)</v>
      </c>
      <c r="C7696">
        <v>2600000</v>
      </c>
      <c r="D7696">
        <v>4300</v>
      </c>
    </row>
    <row r="7697" spans="1:4" x14ac:dyDescent="0.25">
      <c r="A7697" t="str">
        <f>T("   940360")</f>
        <v xml:space="preserve">   940360</v>
      </c>
      <c r="B7697" t="str">
        <f>T("   Meubles en bois (autres que pour bureaux, cuisines ou chambres à coucher et autres que sièges)")</f>
        <v xml:space="preserve">   Meubles en bois (autres que pour bureaux, cuisines ou chambres à coucher et autres que sièges)</v>
      </c>
      <c r="C7697">
        <v>2500000</v>
      </c>
      <c r="D7697">
        <v>4800</v>
      </c>
    </row>
    <row r="7698" spans="1:4" x14ac:dyDescent="0.25">
      <c r="A7698" t="str">
        <f>T("MA")</f>
        <v>MA</v>
      </c>
      <c r="B7698" t="str">
        <f>T("Maroc")</f>
        <v>Maroc</v>
      </c>
    </row>
    <row r="7699" spans="1:4" x14ac:dyDescent="0.25">
      <c r="A7699" t="str">
        <f>T("   ZZ_Total_Produit_SH6")</f>
        <v xml:space="preserve">   ZZ_Total_Produit_SH6</v>
      </c>
      <c r="B7699" t="str">
        <f>T("   ZZ_Total_Produit_SH6")</f>
        <v xml:space="preserve">   ZZ_Total_Produit_SH6</v>
      </c>
      <c r="C7699">
        <v>6686138297</v>
      </c>
      <c r="D7699">
        <v>20754736.399999999</v>
      </c>
    </row>
    <row r="7700" spans="1:4" x14ac:dyDescent="0.25">
      <c r="A7700" t="str">
        <f>T("   020727")</f>
        <v xml:space="preserve">   020727</v>
      </c>
      <c r="B7700" t="str">
        <f>T("   Morceaux et abats comestibles de dindes et dindons [des espèces domestiques], congelés")</f>
        <v xml:space="preserve">   Morceaux et abats comestibles de dindes et dindons [des espèces domestiques], congelés</v>
      </c>
      <c r="C7700">
        <v>31100000</v>
      </c>
      <c r="D7700">
        <v>50000</v>
      </c>
    </row>
    <row r="7701" spans="1:4" x14ac:dyDescent="0.25">
      <c r="A7701" t="str">
        <f>T("   030219")</f>
        <v xml:space="preserve">   030219</v>
      </c>
      <c r="B7701" t="str">
        <f>T("   Salmonidés, frais ou réfrigérés (à l'excl. des truites et des saumons du Pacifique, de l'Atlantique et du Danube)")</f>
        <v xml:space="preserve">   Salmonidés, frais ou réfrigérés (à l'excl. des truites et des saumons du Pacifique, de l'Atlantique et du Danube)</v>
      </c>
      <c r="C7701">
        <v>6075502</v>
      </c>
      <c r="D7701">
        <v>27000</v>
      </c>
    </row>
    <row r="7702" spans="1:4" x14ac:dyDescent="0.25">
      <c r="A7702" t="str">
        <f>T("   030269")</f>
        <v xml:space="preserve">   030269</v>
      </c>
      <c r="B7702" t="s">
        <v>15</v>
      </c>
      <c r="C7702">
        <v>16874714</v>
      </c>
      <c r="D7702">
        <v>72268</v>
      </c>
    </row>
    <row r="7703" spans="1:4" x14ac:dyDescent="0.25">
      <c r="A7703" t="str">
        <f>T("   030329")</f>
        <v xml:space="preserve">   030329</v>
      </c>
      <c r="B7703" t="str">
        <f>T("   Salmonidés, congelés (à l'excl. des saumons du Pacifique, de l'Atlantique et du Danube ainsi que des truites)")</f>
        <v xml:space="preserve">   Salmonidés, congelés (à l'excl. des saumons du Pacifique, de l'Atlantique et du Danube ainsi que des truites)</v>
      </c>
      <c r="C7703">
        <v>6075502</v>
      </c>
      <c r="D7703">
        <v>27000</v>
      </c>
    </row>
    <row r="7704" spans="1:4" x14ac:dyDescent="0.25">
      <c r="A7704" t="str">
        <f>T("   030374")</f>
        <v xml:space="preserve">   030374</v>
      </c>
      <c r="B7704" t="str">
        <f>T("   Maquereaux [Scomber scombrus, Scomber australasicus, Scomber japonicus], congelés")</f>
        <v xml:space="preserve">   Maquereaux [Scomber scombrus, Scomber australasicus, Scomber japonicus], congelés</v>
      </c>
      <c r="C7704">
        <v>181246996</v>
      </c>
      <c r="D7704">
        <v>805540</v>
      </c>
    </row>
    <row r="7705" spans="1:4" x14ac:dyDescent="0.25">
      <c r="A7705" t="str">
        <f>T("   030379")</f>
        <v xml:space="preserve">   030379</v>
      </c>
      <c r="B7705" t="s">
        <v>16</v>
      </c>
      <c r="C7705">
        <v>3138161983</v>
      </c>
      <c r="D7705">
        <v>13947321</v>
      </c>
    </row>
    <row r="7706" spans="1:4" x14ac:dyDescent="0.25">
      <c r="A7706" t="str">
        <f>T("   040510")</f>
        <v xml:space="preserve">   040510</v>
      </c>
      <c r="B7706" t="str">
        <f>T("   Beurre (sauf beurre déshydraté et ghee)")</f>
        <v xml:space="preserve">   Beurre (sauf beurre déshydraté et ghee)</v>
      </c>
      <c r="C7706">
        <v>4435000</v>
      </c>
      <c r="D7706">
        <v>11525</v>
      </c>
    </row>
    <row r="7707" spans="1:4" x14ac:dyDescent="0.25">
      <c r="A7707" t="str">
        <f>T("   040630")</f>
        <v xml:space="preserve">   040630</v>
      </c>
      <c r="B7707" t="str">
        <f>T("   Fromages fondus (à l'excl. des fromages râpés ou en poudre)")</f>
        <v xml:space="preserve">   Fromages fondus (à l'excl. des fromages râpés ou en poudre)</v>
      </c>
      <c r="C7707">
        <v>436920</v>
      </c>
      <c r="D7707">
        <v>708</v>
      </c>
    </row>
    <row r="7708" spans="1:4" x14ac:dyDescent="0.25">
      <c r="A7708" t="str">
        <f>T("   040690")</f>
        <v xml:space="preserve">   040690</v>
      </c>
      <c r="B7708" t="s">
        <v>19</v>
      </c>
      <c r="C7708">
        <v>16143519</v>
      </c>
      <c r="D7708">
        <v>50276</v>
      </c>
    </row>
    <row r="7709" spans="1:4" x14ac:dyDescent="0.25">
      <c r="A7709" t="str">
        <f>T("   071290")</f>
        <v xml:space="preserve">   071290</v>
      </c>
      <c r="B7709"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7709">
        <v>60362</v>
      </c>
      <c r="D7709">
        <v>286</v>
      </c>
    </row>
    <row r="7710" spans="1:4" x14ac:dyDescent="0.25">
      <c r="A7710" t="str">
        <f>T("   150790")</f>
        <v xml:space="preserve">   150790</v>
      </c>
      <c r="B7710" t="str">
        <f>T("   Huile de soja et ses fractions, même raffinées, mais non chimiquement modifiées (à l'excl. de l'huile de soja brute)")</f>
        <v xml:space="preserve">   Huile de soja et ses fractions, même raffinées, mais non chimiquement modifiées (à l'excl. de l'huile de soja brute)</v>
      </c>
      <c r="C7710">
        <v>5500000</v>
      </c>
      <c r="D7710">
        <v>22000</v>
      </c>
    </row>
    <row r="7711" spans="1:4" x14ac:dyDescent="0.25">
      <c r="A7711" t="str">
        <f>T("   151710")</f>
        <v xml:space="preserve">   151710</v>
      </c>
      <c r="B7711" t="str">
        <f>T("   Margarine (à l'excl. de la margarine liquide)")</f>
        <v xml:space="preserve">   Margarine (à l'excl. de la margarine liquide)</v>
      </c>
      <c r="C7711">
        <v>4815317</v>
      </c>
      <c r="D7711">
        <v>19361</v>
      </c>
    </row>
    <row r="7712" spans="1:4" x14ac:dyDescent="0.25">
      <c r="A7712" t="str">
        <f>T("   151790")</f>
        <v xml:space="preserve">   151790</v>
      </c>
      <c r="B7712" t="s">
        <v>38</v>
      </c>
      <c r="C7712">
        <v>8395000</v>
      </c>
      <c r="D7712">
        <v>23121</v>
      </c>
    </row>
    <row r="7713" spans="1:4" x14ac:dyDescent="0.25">
      <c r="A7713" t="str">
        <f>T("   160413")</f>
        <v xml:space="preserve">   160413</v>
      </c>
      <c r="B771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713">
        <v>230727429</v>
      </c>
      <c r="D7713">
        <v>943493</v>
      </c>
    </row>
    <row r="7714" spans="1:4" x14ac:dyDescent="0.25">
      <c r="A7714" t="str">
        <f>T("   170490")</f>
        <v xml:space="preserve">   170490</v>
      </c>
      <c r="B7714" t="str">
        <f>T("   Sucreries sans cacao, y.c. le chocolat blanc (à l'excl. des gommes à mâcher)")</f>
        <v xml:space="preserve">   Sucreries sans cacao, y.c. le chocolat blanc (à l'excl. des gommes à mâcher)</v>
      </c>
      <c r="C7714">
        <v>5449000</v>
      </c>
      <c r="D7714">
        <v>22224</v>
      </c>
    </row>
    <row r="7715" spans="1:4" x14ac:dyDescent="0.25">
      <c r="A7715" t="str">
        <f>T("   190230")</f>
        <v xml:space="preserve">   190230</v>
      </c>
      <c r="B7715" t="str">
        <f>T("   Pâtes alimentaires, cuites ou autrement préparées (à l'excl. des pâtes alimentaires farcies)")</f>
        <v xml:space="preserve">   Pâtes alimentaires, cuites ou autrement préparées (à l'excl. des pâtes alimentaires farcies)</v>
      </c>
      <c r="C7715">
        <v>9509452</v>
      </c>
      <c r="D7715">
        <v>37665</v>
      </c>
    </row>
    <row r="7716" spans="1:4" x14ac:dyDescent="0.25">
      <c r="A7716" t="str">
        <f>T("   190240")</f>
        <v xml:space="preserve">   190240</v>
      </c>
      <c r="B7716" t="str">
        <f>T("   Couscous, même préparé")</f>
        <v xml:space="preserve">   Couscous, même préparé</v>
      </c>
      <c r="C7716">
        <v>69620767</v>
      </c>
      <c r="D7716">
        <v>254593</v>
      </c>
    </row>
    <row r="7717" spans="1:4" x14ac:dyDescent="0.25">
      <c r="A7717" t="str">
        <f>T("   190590")</f>
        <v xml:space="preserve">   190590</v>
      </c>
      <c r="B7717" t="s">
        <v>52</v>
      </c>
      <c r="C7717">
        <v>5834773</v>
      </c>
      <c r="D7717">
        <v>19776</v>
      </c>
    </row>
    <row r="7718" spans="1:4" x14ac:dyDescent="0.25">
      <c r="A7718" t="str">
        <f>T("   200980")</f>
        <v xml:space="preserve">   200980</v>
      </c>
      <c r="B771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718">
        <v>2627955</v>
      </c>
      <c r="D7718">
        <v>1000</v>
      </c>
    </row>
    <row r="7719" spans="1:4" x14ac:dyDescent="0.25">
      <c r="A7719" t="str">
        <f>T("   210690")</f>
        <v xml:space="preserve">   210690</v>
      </c>
      <c r="B7719" t="str">
        <f>T("   Préparations alimentaires, n.d.a.")</f>
        <v xml:space="preserve">   Préparations alimentaires, n.d.a.</v>
      </c>
      <c r="C7719">
        <v>8580559</v>
      </c>
      <c r="D7719">
        <v>45478</v>
      </c>
    </row>
    <row r="7720" spans="1:4" x14ac:dyDescent="0.25">
      <c r="A7720" t="str">
        <f>T("   220110")</f>
        <v xml:space="preserve">   220110</v>
      </c>
      <c r="B7720" t="str">
        <f>T("   Eaux minérales et eaux gazéifiées, non additionnées de sucre ou d'autres édulcorants ni aromatisées")</f>
        <v xml:space="preserve">   Eaux minérales et eaux gazéifiées, non additionnées de sucre ou d'autres édulcorants ni aromatisées</v>
      </c>
      <c r="C7720">
        <v>2161388</v>
      </c>
      <c r="D7720">
        <v>13431</v>
      </c>
    </row>
    <row r="7721" spans="1:4" x14ac:dyDescent="0.25">
      <c r="A7721" t="str">
        <f>T("   220290")</f>
        <v xml:space="preserve">   220290</v>
      </c>
      <c r="B7721" t="str">
        <f>T("   BOISSONS NON-ALCOOLIQUES (À L'EXCL. DES EAUX, DES JUS DE FRUITS OU DE LÉGUMES AINSI QUE DU LAIT)")</f>
        <v xml:space="preserve">   BOISSONS NON-ALCOOLIQUES (À L'EXCL. DES EAUX, DES JUS DE FRUITS OU DE LÉGUMES AINSI QUE DU LAIT)</v>
      </c>
      <c r="C7721">
        <v>2656638</v>
      </c>
      <c r="D7721">
        <v>23993</v>
      </c>
    </row>
    <row r="7722" spans="1:4" x14ac:dyDescent="0.25">
      <c r="A7722" t="str">
        <f>T("   252020")</f>
        <v xml:space="preserve">   252020</v>
      </c>
      <c r="B7722" t="str">
        <f>T("   Plâtres, même colorés ou additionnés de faibles quantités d'accélérateurs ou de retardateurs")</f>
        <v xml:space="preserve">   Plâtres, même colorés ou additionnés de faibles quantités d'accélérateurs ou de retardateurs</v>
      </c>
      <c r="C7722">
        <v>21385516</v>
      </c>
      <c r="D7722">
        <v>333180</v>
      </c>
    </row>
    <row r="7723" spans="1:4" x14ac:dyDescent="0.25">
      <c r="A7723" t="str">
        <f>T("   252321")</f>
        <v xml:space="preserve">   252321</v>
      </c>
      <c r="B7723" t="str">
        <f>T("   Ciments Portland blancs, même colorés artificiellement")</f>
        <v xml:space="preserve">   Ciments Portland blancs, même colorés artificiellement</v>
      </c>
      <c r="C7723">
        <v>2833747</v>
      </c>
      <c r="D7723">
        <v>58400</v>
      </c>
    </row>
    <row r="7724" spans="1:4" x14ac:dyDescent="0.25">
      <c r="A7724" t="str">
        <f>T("   291819")</f>
        <v xml:space="preserve">   291819</v>
      </c>
      <c r="B7724" t="s">
        <v>72</v>
      </c>
      <c r="C7724">
        <v>2707619</v>
      </c>
      <c r="D7724">
        <v>495</v>
      </c>
    </row>
    <row r="7725" spans="1:4" x14ac:dyDescent="0.25">
      <c r="A7725" t="str">
        <f>T("   293629")</f>
        <v xml:space="preserve">   293629</v>
      </c>
      <c r="B7725"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7725">
        <v>1004012</v>
      </c>
      <c r="D7725">
        <v>40</v>
      </c>
    </row>
    <row r="7726" spans="1:4" x14ac:dyDescent="0.25">
      <c r="A7726" t="str">
        <f>T("   300220")</f>
        <v xml:space="preserve">   300220</v>
      </c>
      <c r="B7726" t="str">
        <f>T("   Vaccins pour la médecine humaine")</f>
        <v xml:space="preserve">   Vaccins pour la médecine humaine</v>
      </c>
      <c r="C7726">
        <v>1735670</v>
      </c>
      <c r="D7726">
        <v>30</v>
      </c>
    </row>
    <row r="7727" spans="1:4" x14ac:dyDescent="0.25">
      <c r="A7727" t="str">
        <f>T("   300431")</f>
        <v xml:space="preserve">   300431</v>
      </c>
      <c r="B7727" t="str">
        <f>T("   Médicaments contenant de l'insuline, mais ne contenant pas d'antibiotiques, présentés sous forme de doses [y.c. ceux destinés à être administrés par voie percutanée] ou conditionnés pour la vente au détail")</f>
        <v xml:space="preserve">   Médicaments contenant de l'insuline, mais ne contenant pas d'antibiotiques, présentés sous forme de doses [y.c. ceux destinés à être administrés par voie percutanée] ou conditionnés pour la vente au détail</v>
      </c>
      <c r="C7727">
        <v>334120</v>
      </c>
      <c r="D7727">
        <v>16</v>
      </c>
    </row>
    <row r="7728" spans="1:4" x14ac:dyDescent="0.25">
      <c r="A7728" t="str">
        <f>T("   300439")</f>
        <v xml:space="preserve">   300439</v>
      </c>
      <c r="B7728" t="s">
        <v>81</v>
      </c>
      <c r="C7728">
        <v>3175503</v>
      </c>
      <c r="D7728">
        <v>691</v>
      </c>
    </row>
    <row r="7729" spans="1:4" x14ac:dyDescent="0.25">
      <c r="A7729" t="str">
        <f>T("   300490")</f>
        <v xml:space="preserve">   300490</v>
      </c>
      <c r="B7729" t="s">
        <v>84</v>
      </c>
      <c r="C7729">
        <v>135737238</v>
      </c>
      <c r="D7729">
        <v>3329</v>
      </c>
    </row>
    <row r="7730" spans="1:4" x14ac:dyDescent="0.25">
      <c r="A7730" t="str">
        <f>T("   300610")</f>
        <v xml:space="preserve">   300610</v>
      </c>
      <c r="B7730" t="s">
        <v>86</v>
      </c>
      <c r="C7730">
        <v>10928739</v>
      </c>
      <c r="D7730">
        <v>104</v>
      </c>
    </row>
    <row r="7731" spans="1:4" x14ac:dyDescent="0.25">
      <c r="A7731" t="str">
        <f>T("   320820")</f>
        <v xml:space="preserve">   320820</v>
      </c>
      <c r="B7731" t="s">
        <v>101</v>
      </c>
      <c r="C7731">
        <v>4580000</v>
      </c>
      <c r="D7731">
        <v>17727</v>
      </c>
    </row>
    <row r="7732" spans="1:4" x14ac:dyDescent="0.25">
      <c r="A7732" t="str">
        <f>T("   320990")</f>
        <v xml:space="preserve">   320990</v>
      </c>
      <c r="B7732"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7732">
        <v>3825624</v>
      </c>
      <c r="D7732">
        <v>19138</v>
      </c>
    </row>
    <row r="7733" spans="1:4" x14ac:dyDescent="0.25">
      <c r="A7733" t="str">
        <f>T("   321000")</f>
        <v xml:space="preserve">   321000</v>
      </c>
      <c r="B7733"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7733">
        <v>251889</v>
      </c>
      <c r="D7733">
        <v>70</v>
      </c>
    </row>
    <row r="7734" spans="1:4" x14ac:dyDescent="0.25">
      <c r="A7734" t="str">
        <f>T("   330499")</f>
        <v xml:space="preserve">   330499</v>
      </c>
      <c r="B7734" t="s">
        <v>106</v>
      </c>
      <c r="C7734">
        <v>1533582</v>
      </c>
      <c r="D7734">
        <v>720</v>
      </c>
    </row>
    <row r="7735" spans="1:4" x14ac:dyDescent="0.25">
      <c r="A7735" t="str">
        <f>T("   392590")</f>
        <v xml:space="preserve">   392590</v>
      </c>
      <c r="B7735" t="s">
        <v>158</v>
      </c>
      <c r="C7735">
        <v>22303</v>
      </c>
      <c r="D7735">
        <v>212</v>
      </c>
    </row>
    <row r="7736" spans="1:4" x14ac:dyDescent="0.25">
      <c r="A7736" t="str">
        <f>T("   392620")</f>
        <v xml:space="preserve">   392620</v>
      </c>
      <c r="B7736"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7736">
        <v>915720</v>
      </c>
      <c r="D7736">
        <v>103</v>
      </c>
    </row>
    <row r="7737" spans="1:4" x14ac:dyDescent="0.25">
      <c r="A7737" t="str">
        <f>T("   392690")</f>
        <v xml:space="preserve">   392690</v>
      </c>
      <c r="B7737" t="str">
        <f>T("   Ouvrages en matières plastiques et ouvrages en autres matières du n° 3901 à 3914, n.d.a.")</f>
        <v xml:space="preserve">   Ouvrages en matières plastiques et ouvrages en autres matières du n° 3901 à 3914, n.d.a.</v>
      </c>
      <c r="C7737">
        <v>8065029</v>
      </c>
      <c r="D7737">
        <v>8750</v>
      </c>
    </row>
    <row r="7738" spans="1:4" x14ac:dyDescent="0.25">
      <c r="A7738" t="str">
        <f>T("   401110")</f>
        <v xml:space="preserve">   401110</v>
      </c>
      <c r="B773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738">
        <v>709826</v>
      </c>
      <c r="D7738">
        <v>100</v>
      </c>
    </row>
    <row r="7739" spans="1:4" x14ac:dyDescent="0.25">
      <c r="A7739" t="str">
        <f>T("   420329")</f>
        <v xml:space="preserve">   420329</v>
      </c>
      <c r="B7739"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7739">
        <v>610699</v>
      </c>
      <c r="D7739">
        <v>70</v>
      </c>
    </row>
    <row r="7740" spans="1:4" x14ac:dyDescent="0.25">
      <c r="A7740" t="str">
        <f>T("   481930")</f>
        <v xml:space="preserve">   481930</v>
      </c>
      <c r="B7740" t="str">
        <f>T("   Sacs, en papier, carton, ouate de cellulose ou nappes de fibres de cellulose, d'une largeur à la base &gt;= 40 cm")</f>
        <v xml:space="preserve">   Sacs, en papier, carton, ouate de cellulose ou nappes de fibres de cellulose, d'une largeur à la base &gt;= 40 cm</v>
      </c>
      <c r="C7740">
        <v>1708226944</v>
      </c>
      <c r="D7740">
        <v>2382420</v>
      </c>
    </row>
    <row r="7741" spans="1:4" x14ac:dyDescent="0.25">
      <c r="A7741" t="str">
        <f>T("   490700")</f>
        <v xml:space="preserve">   490700</v>
      </c>
      <c r="B7741" t="s">
        <v>237</v>
      </c>
      <c r="C7741">
        <v>1526625</v>
      </c>
      <c r="D7741">
        <v>83</v>
      </c>
    </row>
    <row r="7742" spans="1:4" x14ac:dyDescent="0.25">
      <c r="A7742" t="str">
        <f>T("   491110")</f>
        <v xml:space="preserve">   491110</v>
      </c>
      <c r="B7742" t="str">
        <f>T("   Imprimés publicitaires, catalogues commerciaux et simil.")</f>
        <v xml:space="preserve">   Imprimés publicitaires, catalogues commerciaux et simil.</v>
      </c>
      <c r="C7742">
        <v>1401786</v>
      </c>
      <c r="D7742">
        <v>1664</v>
      </c>
    </row>
    <row r="7743" spans="1:4" x14ac:dyDescent="0.25">
      <c r="A7743" t="str">
        <f>T("   491199")</f>
        <v xml:space="preserve">   491199</v>
      </c>
      <c r="B7743" t="str">
        <f>T("   Imprimés, n.d.a.")</f>
        <v xml:space="preserve">   Imprimés, n.d.a.</v>
      </c>
      <c r="C7743">
        <v>301742</v>
      </c>
      <c r="D7743">
        <v>707</v>
      </c>
    </row>
    <row r="7744" spans="1:4" x14ac:dyDescent="0.25">
      <c r="A7744" t="str">
        <f>T("   611490")</f>
        <v xml:space="preserve">   611490</v>
      </c>
      <c r="B774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744">
        <v>337724</v>
      </c>
      <c r="D7744">
        <v>686</v>
      </c>
    </row>
    <row r="7745" spans="1:4" x14ac:dyDescent="0.25">
      <c r="A7745" t="str">
        <f>T("   620349")</f>
        <v xml:space="preserve">   620349</v>
      </c>
      <c r="B7745" t="s">
        <v>289</v>
      </c>
      <c r="C7745">
        <v>800000</v>
      </c>
      <c r="D7745">
        <v>452</v>
      </c>
    </row>
    <row r="7746" spans="1:4" x14ac:dyDescent="0.25">
      <c r="A7746" t="str">
        <f>T("   620590")</f>
        <v xml:space="preserve">   620590</v>
      </c>
      <c r="B774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746">
        <v>650000</v>
      </c>
      <c r="D7746">
        <v>400</v>
      </c>
    </row>
    <row r="7747" spans="1:4" x14ac:dyDescent="0.25">
      <c r="A7747" t="str">
        <f>T("   621120")</f>
        <v xml:space="preserve">   621120</v>
      </c>
      <c r="B7747" t="str">
        <f>T("   Combinaisons et ensembles de ski (autres qu'en bonneterie)")</f>
        <v xml:space="preserve">   Combinaisons et ensembles de ski (autres qu'en bonneterie)</v>
      </c>
      <c r="C7747">
        <v>5457587</v>
      </c>
      <c r="D7747">
        <v>623</v>
      </c>
    </row>
    <row r="7748" spans="1:4" x14ac:dyDescent="0.25">
      <c r="A7748" t="str">
        <f>T("   630720")</f>
        <v xml:space="preserve">   630720</v>
      </c>
      <c r="B7748" t="str">
        <f>T("   Ceintures et gilets de sauvetage en tous types de matières textiles")</f>
        <v xml:space="preserve">   Ceintures et gilets de sauvetage en tous types de matières textiles</v>
      </c>
      <c r="C7748">
        <v>801583</v>
      </c>
      <c r="D7748">
        <v>92</v>
      </c>
    </row>
    <row r="7749" spans="1:4" x14ac:dyDescent="0.25">
      <c r="A7749" t="str">
        <f>T("   630900")</f>
        <v xml:space="preserve">   630900</v>
      </c>
      <c r="B7749" t="s">
        <v>300</v>
      </c>
      <c r="C7749">
        <v>9800042</v>
      </c>
      <c r="D7749">
        <v>14000</v>
      </c>
    </row>
    <row r="7750" spans="1:4" x14ac:dyDescent="0.25">
      <c r="A7750" t="str">
        <f>T("   650610")</f>
        <v xml:space="preserve">   650610</v>
      </c>
      <c r="B7750" t="str">
        <f>T("   Coiffures de sécurité, même garnies")</f>
        <v xml:space="preserve">   Coiffures de sécurité, même garnies</v>
      </c>
      <c r="C7750">
        <v>591676</v>
      </c>
      <c r="D7750">
        <v>67</v>
      </c>
    </row>
    <row r="7751" spans="1:4" x14ac:dyDescent="0.25">
      <c r="A7751" t="str">
        <f>T("   691090")</f>
        <v xml:space="preserve">   691090</v>
      </c>
      <c r="B7751" t="s">
        <v>339</v>
      </c>
      <c r="C7751">
        <v>6309713</v>
      </c>
      <c r="D7751">
        <v>4300</v>
      </c>
    </row>
    <row r="7752" spans="1:4" x14ac:dyDescent="0.25">
      <c r="A7752" t="str">
        <f>T("   701090")</f>
        <v xml:space="preserve">   701090</v>
      </c>
      <c r="B7752" t="s">
        <v>348</v>
      </c>
      <c r="C7752">
        <v>3744889</v>
      </c>
      <c r="D7752">
        <v>27201</v>
      </c>
    </row>
    <row r="7753" spans="1:4" x14ac:dyDescent="0.25">
      <c r="A7753" t="str">
        <f>T("   720853")</f>
        <v xml:space="preserve">   720853</v>
      </c>
      <c r="B7753" t="str">
        <f>T("   PRODUITS LAMINÉS PLATS, EN FER OU EN ACIER NON-ALLIÉS, D'UNE LARGEUR &gt;= 600 MM, NON-ENROULÉS, SIMPL. LAMINÉS À CHAUD, NON-PLAQUÉS NI REVÊTUS, ÉPAISSEUR &gt;= 3 MM MAIS &lt; 4,75 MM, SANS MOTIFS EN RELIEF")</f>
        <v xml:space="preserve">   PRODUITS LAMINÉS PLATS, EN FER OU EN ACIER NON-ALLIÉS, D'UNE LARGEUR &gt;= 600 MM, NON-ENROULÉS, SIMPL. LAMINÉS À CHAUD, NON-PLAQUÉS NI REVÊTUS, ÉPAISSEUR &gt;= 3 MM MAIS &lt; 4,75 MM, SANS MOTIFS EN RELIEF</v>
      </c>
      <c r="C7753">
        <v>270541434</v>
      </c>
      <c r="D7753">
        <v>680344</v>
      </c>
    </row>
    <row r="7754" spans="1:4" x14ac:dyDescent="0.25">
      <c r="A7754" t="str">
        <f>T("   720926")</f>
        <v xml:space="preserve">   720926</v>
      </c>
      <c r="B7754" t="str">
        <f>T("   PRODUITS LAMINÉS PLATS, EN FER OU EN ACIERS NON-ALLIÉS, D'UNE LARGEUR &gt;= 600 MM, NON-PLAQUÉS NI REVÊTUS, NON-ENROULÉS, SIMPL. LAMINÉS À FROID, D'UNE ÉPAISSEUR &gt; 1 MM MAIS &lt; 3 MM")</f>
        <v xml:space="preserve">   PRODUITS LAMINÉS PLATS, EN FER OU EN ACIERS NON-ALLIÉS, D'UNE LARGEUR &gt;= 600 MM, NON-PLAQUÉS NI REVÊTUS, NON-ENROULÉS, SIMPL. LAMINÉS À FROID, D'UNE ÉPAISSEUR &gt; 1 MM MAIS &lt; 3 MM</v>
      </c>
      <c r="C7754">
        <v>128757447</v>
      </c>
      <c r="D7754">
        <v>343436</v>
      </c>
    </row>
    <row r="7755" spans="1:4" x14ac:dyDescent="0.25">
      <c r="A7755" t="str">
        <f>T("   721391")</f>
        <v xml:space="preserve">   721391</v>
      </c>
      <c r="B7755"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755">
        <v>26409403</v>
      </c>
      <c r="D7755">
        <v>60000</v>
      </c>
    </row>
    <row r="7756" spans="1:4" x14ac:dyDescent="0.25">
      <c r="A7756" t="str">
        <f>T("   730820")</f>
        <v xml:space="preserve">   730820</v>
      </c>
      <c r="B7756" t="str">
        <f>T("   Tours et pylônes, en fer ou en acier")</f>
        <v xml:space="preserve">   Tours et pylônes, en fer ou en acier</v>
      </c>
      <c r="C7756">
        <v>15570523</v>
      </c>
      <c r="D7756">
        <v>9585</v>
      </c>
    </row>
    <row r="7757" spans="1:4" x14ac:dyDescent="0.25">
      <c r="A7757" t="str">
        <f>T("   730890")</f>
        <v xml:space="preserve">   730890</v>
      </c>
      <c r="B7757" t="s">
        <v>376</v>
      </c>
      <c r="C7757">
        <v>15567243</v>
      </c>
      <c r="D7757">
        <v>9571</v>
      </c>
    </row>
    <row r="7758" spans="1:4" x14ac:dyDescent="0.25">
      <c r="A7758" t="str">
        <f>T("   732394")</f>
        <v xml:space="preserve">   732394</v>
      </c>
      <c r="B7758" t="s">
        <v>389</v>
      </c>
      <c r="C7758">
        <v>400000</v>
      </c>
      <c r="D7758">
        <v>250</v>
      </c>
    </row>
    <row r="7759" spans="1:4" x14ac:dyDescent="0.25">
      <c r="A7759" t="str">
        <f>T("   732690")</f>
        <v xml:space="preserve">   732690</v>
      </c>
      <c r="B775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759">
        <v>5177493</v>
      </c>
      <c r="D7759">
        <v>3850</v>
      </c>
    </row>
    <row r="7760" spans="1:4" x14ac:dyDescent="0.25">
      <c r="A7760" t="str">
        <f>T("   761490")</f>
        <v xml:space="preserve">   761490</v>
      </c>
      <c r="B7760" t="s">
        <v>396</v>
      </c>
      <c r="C7760">
        <v>25376469</v>
      </c>
      <c r="D7760">
        <v>14060</v>
      </c>
    </row>
    <row r="7761" spans="1:4" x14ac:dyDescent="0.25">
      <c r="A7761" t="str">
        <f>T("   761699")</f>
        <v xml:space="preserve">   761699</v>
      </c>
      <c r="B7761" t="str">
        <f>T("   Ouvrages en aluminium, n.d.a.")</f>
        <v xml:space="preserve">   Ouvrages en aluminium, n.d.a.</v>
      </c>
      <c r="C7761">
        <v>404727</v>
      </c>
      <c r="D7761">
        <v>437</v>
      </c>
    </row>
    <row r="7762" spans="1:4" x14ac:dyDescent="0.25">
      <c r="A7762" t="str">
        <f>T("   831110")</f>
        <v xml:space="preserve">   831110</v>
      </c>
      <c r="B7762" t="str">
        <f>T("   ÉLECTRODES ENROBÉES EN MÉTAUX COMMUNS, POUR LE SOUDAGE À L'ARC")</f>
        <v xml:space="preserve">   ÉLECTRODES ENROBÉES EN MÉTAUX COMMUNS, POUR LE SOUDAGE À L'ARC</v>
      </c>
      <c r="C7762">
        <v>21785744</v>
      </c>
      <c r="D7762">
        <v>22394</v>
      </c>
    </row>
    <row r="7763" spans="1:4" x14ac:dyDescent="0.25">
      <c r="A7763" t="str">
        <f>T("   843149")</f>
        <v xml:space="preserve">   843149</v>
      </c>
      <c r="B7763" t="str">
        <f>T("   Parties de machines et appareils du n° 8426, 8429 ou 8430, n.d.a.")</f>
        <v xml:space="preserve">   Parties de machines et appareils du n° 8426, 8429 ou 8430, n.d.a.</v>
      </c>
      <c r="C7763">
        <v>1425696</v>
      </c>
      <c r="D7763">
        <v>1426.8</v>
      </c>
    </row>
    <row r="7764" spans="1:4" x14ac:dyDescent="0.25">
      <c r="A7764" t="str">
        <f>T("   847180")</f>
        <v xml:space="preserve">   847180</v>
      </c>
      <c r="B776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764">
        <v>9102101</v>
      </c>
      <c r="D7764">
        <v>2100</v>
      </c>
    </row>
    <row r="7765" spans="1:4" x14ac:dyDescent="0.25">
      <c r="A7765" t="str">
        <f>T("   850421")</f>
        <v xml:space="preserve">   850421</v>
      </c>
      <c r="B7765" t="str">
        <f>T("   Transformateurs à diélectrique liquide, puissance &lt;= 650 kVA")</f>
        <v xml:space="preserve">   Transformateurs à diélectrique liquide, puissance &lt;= 650 kVA</v>
      </c>
      <c r="C7765">
        <v>17905084</v>
      </c>
      <c r="D7765">
        <v>14661</v>
      </c>
    </row>
    <row r="7766" spans="1:4" x14ac:dyDescent="0.25">
      <c r="A7766" t="str">
        <f>T("   850423")</f>
        <v xml:space="preserve">   850423</v>
      </c>
      <c r="B7766" t="str">
        <f>T("   Transformateurs à diélectrique liquide, puissance &gt; 10.000 kVA")</f>
        <v xml:space="preserve">   Transformateurs à diélectrique liquide, puissance &gt; 10.000 kVA</v>
      </c>
      <c r="C7766">
        <v>3940000</v>
      </c>
      <c r="D7766">
        <v>2326</v>
      </c>
    </row>
    <row r="7767" spans="1:4" x14ac:dyDescent="0.25">
      <c r="A7767" t="str">
        <f>T("   850440")</f>
        <v xml:space="preserve">   850440</v>
      </c>
      <c r="B7767" t="str">
        <f>T("   CONVERTISSEURS STATIQUES")</f>
        <v xml:space="preserve">   CONVERTISSEURS STATIQUES</v>
      </c>
      <c r="C7767">
        <v>9651795</v>
      </c>
      <c r="D7767">
        <v>5512</v>
      </c>
    </row>
    <row r="7768" spans="1:4" x14ac:dyDescent="0.25">
      <c r="A7768" t="str">
        <f>T("   852321")</f>
        <v xml:space="preserve">   852321</v>
      </c>
      <c r="B7768" t="str">
        <f>T("   CARTES MUNIES D'UNE PISTE MAGNÉTIQUE POUR L'ENREGISTREMENT DU SON OU POUR ENREGISTREMENTS ANALOGUES")</f>
        <v xml:space="preserve">   CARTES MUNIES D'UNE PISTE MAGNÉTIQUE POUR L'ENREGISTREMENT DU SON OU POUR ENREGISTREMENTS ANALOGUES</v>
      </c>
      <c r="C7768">
        <v>71500</v>
      </c>
      <c r="D7768">
        <v>0.6</v>
      </c>
    </row>
    <row r="7769" spans="1:4" x14ac:dyDescent="0.25">
      <c r="A7769" t="str">
        <f>T("   853110")</f>
        <v xml:space="preserve">   853110</v>
      </c>
      <c r="B7769" t="str">
        <f>T("   Avertisseurs électriques pour la protection contre le vol ou l'incendie et appareils simil.")</f>
        <v xml:space="preserve">   Avertisseurs électriques pour la protection contre le vol ou l'incendie et appareils simil.</v>
      </c>
      <c r="C7769">
        <v>617914</v>
      </c>
      <c r="D7769">
        <v>721</v>
      </c>
    </row>
    <row r="7770" spans="1:4" x14ac:dyDescent="0.25">
      <c r="A7770" t="str">
        <f>T("   853530")</f>
        <v xml:space="preserve">   853530</v>
      </c>
      <c r="B7770" t="str">
        <f>T("   Sectionneurs et interrupteurs, pour une tension &gt; 1.000 V")</f>
        <v xml:space="preserve">   Sectionneurs et interrupteurs, pour une tension &gt; 1.000 V</v>
      </c>
      <c r="C7770">
        <v>8856574</v>
      </c>
      <c r="D7770">
        <v>4500</v>
      </c>
    </row>
    <row r="7771" spans="1:4" x14ac:dyDescent="0.25">
      <c r="A7771" t="str">
        <f>T("   853540")</f>
        <v xml:space="preserve">   853540</v>
      </c>
      <c r="B7771" t="str">
        <f>T("   Parafoudres, limiteurs de tension et étaleurs d'ondes, pour une tension &gt; 1.000 V")</f>
        <v xml:space="preserve">   Parafoudres, limiteurs de tension et étaleurs d'ondes, pour une tension &gt; 1.000 V</v>
      </c>
      <c r="C7771">
        <v>261728</v>
      </c>
      <c r="D7771">
        <v>149</v>
      </c>
    </row>
    <row r="7772" spans="1:4" x14ac:dyDescent="0.25">
      <c r="A7772" t="str">
        <f>T("   853610")</f>
        <v xml:space="preserve">   853610</v>
      </c>
      <c r="B7772" t="str">
        <f>T("   Fusibles et coupe-circuit à fusibles, pour une tension &lt;= 1.000 V")</f>
        <v xml:space="preserve">   Fusibles et coupe-circuit à fusibles, pour une tension &lt;= 1.000 V</v>
      </c>
      <c r="C7772">
        <v>2797670</v>
      </c>
      <c r="D7772">
        <v>2659</v>
      </c>
    </row>
    <row r="7773" spans="1:4" x14ac:dyDescent="0.25">
      <c r="A7773" t="str">
        <f>T("   853620")</f>
        <v xml:space="preserve">   853620</v>
      </c>
      <c r="B7773" t="str">
        <f>T("   Disjoncteurs, pour une tension &lt;= 1.000 V")</f>
        <v xml:space="preserve">   Disjoncteurs, pour une tension &lt;= 1.000 V</v>
      </c>
      <c r="C7773">
        <v>5808526</v>
      </c>
      <c r="D7773">
        <v>6112</v>
      </c>
    </row>
    <row r="7774" spans="1:4" x14ac:dyDescent="0.25">
      <c r="A7774" t="str">
        <f>T("   853650")</f>
        <v xml:space="preserve">   853650</v>
      </c>
      <c r="B7774" t="str">
        <f>T("   Interrupteurs, sectionneurs et commutateurs, pour une tension &lt;= 1.000 V (autres que relais et disjoncteurs)")</f>
        <v xml:space="preserve">   Interrupteurs, sectionneurs et commutateurs, pour une tension &lt;= 1.000 V (autres que relais et disjoncteurs)</v>
      </c>
      <c r="C7774">
        <v>26330234</v>
      </c>
      <c r="D7774">
        <v>26225</v>
      </c>
    </row>
    <row r="7775" spans="1:4" x14ac:dyDescent="0.25">
      <c r="A7775" t="str">
        <f>T("   853669")</f>
        <v xml:space="preserve">   853669</v>
      </c>
      <c r="B7775" t="str">
        <f>T("   Fiches et prises de courant, pour une tension &lt;= 1.000 V (sauf douilles pour lampes)")</f>
        <v xml:space="preserve">   Fiches et prises de courant, pour une tension &lt;= 1.000 V (sauf douilles pour lampes)</v>
      </c>
      <c r="C7775">
        <v>50043220</v>
      </c>
      <c r="D7775">
        <v>58673</v>
      </c>
    </row>
    <row r="7776" spans="1:4" x14ac:dyDescent="0.25">
      <c r="A7776" t="str">
        <f>T("   853690")</f>
        <v xml:space="preserve">   853690</v>
      </c>
      <c r="B7776" t="s">
        <v>499</v>
      </c>
      <c r="C7776">
        <v>6301153</v>
      </c>
      <c r="D7776">
        <v>5678</v>
      </c>
    </row>
    <row r="7777" spans="1:4" x14ac:dyDescent="0.25">
      <c r="A7777" t="str">
        <f>T("   853810")</f>
        <v xml:space="preserve">   853810</v>
      </c>
      <c r="B7777" t="str">
        <f>T("   Tableaux, panneaux, consoles, pupitres, armoires et autres supports pour articles du n° 8537, dépourvus de leurs appareils")</f>
        <v xml:space="preserve">   Tableaux, panneaux, consoles, pupitres, armoires et autres supports pour articles du n° 8537, dépourvus de leurs appareils</v>
      </c>
      <c r="C7777">
        <v>12164780</v>
      </c>
      <c r="D7777">
        <v>13375</v>
      </c>
    </row>
    <row r="7778" spans="1:4" x14ac:dyDescent="0.25">
      <c r="A7778" t="str">
        <f>T("   853890")</f>
        <v xml:space="preserve">   853890</v>
      </c>
      <c r="B7778" t="s">
        <v>500</v>
      </c>
      <c r="C7778">
        <v>6593053</v>
      </c>
      <c r="D7778">
        <v>6622</v>
      </c>
    </row>
    <row r="7779" spans="1:4" x14ac:dyDescent="0.25">
      <c r="A7779" t="str">
        <f>T("   853929")</f>
        <v xml:space="preserve">   853929</v>
      </c>
      <c r="B7779"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7779">
        <v>451957</v>
      </c>
      <c r="D7779">
        <v>525</v>
      </c>
    </row>
    <row r="7780" spans="1:4" x14ac:dyDescent="0.25">
      <c r="A7780" t="str">
        <f>T("   853931")</f>
        <v xml:space="preserve">   853931</v>
      </c>
      <c r="B7780" t="str">
        <f>T("   Lampes et tubes à décharge, fluorescents, à cathode chaude")</f>
        <v xml:space="preserve">   Lampes et tubes à décharge, fluorescents, à cathode chaude</v>
      </c>
      <c r="C7780">
        <v>12273832</v>
      </c>
      <c r="D7780">
        <v>8177</v>
      </c>
    </row>
    <row r="7781" spans="1:4" x14ac:dyDescent="0.25">
      <c r="A7781" t="str">
        <f>T("   853939")</f>
        <v xml:space="preserve">   853939</v>
      </c>
      <c r="B7781"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781">
        <v>5536959</v>
      </c>
      <c r="D7781">
        <v>6081</v>
      </c>
    </row>
    <row r="7782" spans="1:4" x14ac:dyDescent="0.25">
      <c r="A7782" t="str">
        <f>T("   854420")</f>
        <v xml:space="preserve">   854420</v>
      </c>
      <c r="B7782" t="str">
        <f>T("   Câbles coaxiaux et autres conducteurs électriques coaxiaux, isolés")</f>
        <v xml:space="preserve">   Câbles coaxiaux et autres conducteurs électriques coaxiaux, isolés</v>
      </c>
      <c r="C7782">
        <v>75749173</v>
      </c>
      <c r="D7782">
        <v>30165</v>
      </c>
    </row>
    <row r="7783" spans="1:4" x14ac:dyDescent="0.25">
      <c r="A7783" t="str">
        <f>T("   854449")</f>
        <v xml:space="preserve">   854449</v>
      </c>
      <c r="B7783" t="str">
        <f>T("   CONDUCTEURS ÉLECTRIQUES, POUR TENSION &lt;= 1.000 V, ISOLÉS, SANS PIÈCES DE CONNEXION, N.D.A.")</f>
        <v xml:space="preserve">   CONDUCTEURS ÉLECTRIQUES, POUR TENSION &lt;= 1.000 V, ISOLÉS, SANS PIÈCES DE CONNEXION, N.D.A.</v>
      </c>
      <c r="C7783">
        <v>35578162</v>
      </c>
      <c r="D7783">
        <v>39653</v>
      </c>
    </row>
    <row r="7784" spans="1:4" x14ac:dyDescent="0.25">
      <c r="A7784" t="str">
        <f>T("   854451")</f>
        <v xml:space="preserve">   854451</v>
      </c>
      <c r="B7784" t="str">
        <f>T("   Conducteurs électriques, pour tension &gt; 80 V mais &lt;= 1.000 V, avec pièces de connexion, n.d.a.")</f>
        <v xml:space="preserve">   Conducteurs électriques, pour tension &gt; 80 V mais &lt;= 1.000 V, avec pièces de connexion, n.d.a.</v>
      </c>
      <c r="C7784">
        <v>279439</v>
      </c>
      <c r="D7784">
        <v>267</v>
      </c>
    </row>
    <row r="7785" spans="1:4" x14ac:dyDescent="0.25">
      <c r="A7785" t="str">
        <f>T("   854460")</f>
        <v xml:space="preserve">   854460</v>
      </c>
      <c r="B7785" t="str">
        <f>T("   Conducteurs électriques, pour tension &gt; 1.000 V, n.d.a.")</f>
        <v xml:space="preserve">   Conducteurs électriques, pour tension &gt; 1.000 V, n.d.a.</v>
      </c>
      <c r="C7785">
        <v>123944744</v>
      </c>
      <c r="D7785">
        <v>36919</v>
      </c>
    </row>
    <row r="7786" spans="1:4" x14ac:dyDescent="0.25">
      <c r="A7786" t="str">
        <f>T("   854590")</f>
        <v xml:space="preserve">   854590</v>
      </c>
      <c r="B7786" t="str">
        <f>T("   Articles en graphite ou en autre carbone, pour usages électriques (autres qu'électrodes et balais)")</f>
        <v xml:space="preserve">   Articles en graphite ou en autre carbone, pour usages électriques (autres qu'électrodes et balais)</v>
      </c>
      <c r="C7786">
        <v>1384731</v>
      </c>
      <c r="D7786">
        <v>13</v>
      </c>
    </row>
    <row r="7787" spans="1:4" x14ac:dyDescent="0.25">
      <c r="A7787" t="str">
        <f>T("   854690")</f>
        <v xml:space="preserve">   854690</v>
      </c>
      <c r="B7787" t="str">
        <f>T("   Isolateurs pour usages électriques (sauf en verre ou en céramique et sauf pièces isolantes)")</f>
        <v xml:space="preserve">   Isolateurs pour usages électriques (sauf en verre ou en céramique et sauf pièces isolantes)</v>
      </c>
      <c r="C7787">
        <v>9262287</v>
      </c>
      <c r="D7787">
        <v>3228</v>
      </c>
    </row>
    <row r="7788" spans="1:4" x14ac:dyDescent="0.25">
      <c r="A7788" t="str">
        <f>T("   870323")</f>
        <v xml:space="preserve">   870323</v>
      </c>
      <c r="B7788" t="s">
        <v>507</v>
      </c>
      <c r="C7788">
        <v>5441326</v>
      </c>
      <c r="D7788">
        <v>1614</v>
      </c>
    </row>
    <row r="7789" spans="1:4" x14ac:dyDescent="0.25">
      <c r="A7789" t="str">
        <f>T("   870899")</f>
        <v xml:space="preserve">   870899</v>
      </c>
      <c r="B778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789">
        <v>354914</v>
      </c>
      <c r="D7789">
        <v>50</v>
      </c>
    </row>
    <row r="7790" spans="1:4" x14ac:dyDescent="0.25">
      <c r="A7790" t="str">
        <f>T("   900490")</f>
        <v xml:space="preserve">   900490</v>
      </c>
      <c r="B7790"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790">
        <v>152839</v>
      </c>
      <c r="D7790">
        <v>17</v>
      </c>
    </row>
    <row r="7791" spans="1:4" x14ac:dyDescent="0.25">
      <c r="A7791" t="str">
        <f>T("   900669")</f>
        <v xml:space="preserve">   900669</v>
      </c>
      <c r="B7791" t="str">
        <f>T("   Appareils et dispositifs pour la production de lumière-éclair en photographie (à l'excl. des appareils à tube à décharge, dits 'flashes électroniques', des lampes-éclair, cubes-éclairs et simil.)")</f>
        <v xml:space="preserve">   Appareils et dispositifs pour la production de lumière-éclair en photographie (à l'excl. des appareils à tube à décharge, dits 'flashes électroniques', des lampes-éclair, cubes-éclairs et simil.)</v>
      </c>
      <c r="C7791">
        <v>155001</v>
      </c>
      <c r="D7791">
        <v>25</v>
      </c>
    </row>
    <row r="7792" spans="1:4" x14ac:dyDescent="0.25">
      <c r="A7792" t="str">
        <f>T("   910199")</f>
        <v xml:space="preserve">   910199</v>
      </c>
      <c r="B7792"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7792">
        <v>10193375</v>
      </c>
      <c r="D7792">
        <v>210</v>
      </c>
    </row>
    <row r="7793" spans="1:4" x14ac:dyDescent="0.25">
      <c r="A7793" t="str">
        <f>T("   940350")</f>
        <v xml:space="preserve">   940350</v>
      </c>
      <c r="B7793" t="str">
        <f>T("   Meubles pour chambres à coucher, en bois (sauf sièges)")</f>
        <v xml:space="preserve">   Meubles pour chambres à coucher, en bois (sauf sièges)</v>
      </c>
      <c r="C7793">
        <v>950000</v>
      </c>
      <c r="D7793">
        <v>850</v>
      </c>
    </row>
    <row r="7794" spans="1:4" x14ac:dyDescent="0.25">
      <c r="A7794" t="str">
        <f>T("   940510")</f>
        <v xml:space="preserve">   940510</v>
      </c>
      <c r="B7794"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794">
        <v>12965707</v>
      </c>
      <c r="D7794">
        <v>13309</v>
      </c>
    </row>
    <row r="7795" spans="1:4" x14ac:dyDescent="0.25">
      <c r="A7795" t="str">
        <f>T("   940540")</f>
        <v xml:space="preserve">   940540</v>
      </c>
      <c r="B7795" t="str">
        <f>T("   Appareils d'éclairage électrique, n.d.a.")</f>
        <v xml:space="preserve">   Appareils d'éclairage électrique, n.d.a.</v>
      </c>
      <c r="C7795">
        <v>14430464</v>
      </c>
      <c r="D7795">
        <v>15571</v>
      </c>
    </row>
    <row r="7796" spans="1:4" x14ac:dyDescent="0.25">
      <c r="A7796" t="str">
        <f>T("   940592")</f>
        <v xml:space="preserve">   940592</v>
      </c>
      <c r="B7796"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7796">
        <v>4914452</v>
      </c>
      <c r="D7796">
        <v>5459</v>
      </c>
    </row>
    <row r="7797" spans="1:4" x14ac:dyDescent="0.25">
      <c r="A7797" t="str">
        <f>T("   940599")</f>
        <v xml:space="preserve">   940599</v>
      </c>
      <c r="B7797" t="str">
        <f>T("   Parties d'appareils d'éclairage, de lampes-réclames, d'enseignes lumineuses, de plaques indicatrices lumineuses, et simil., n.d.a.")</f>
        <v xml:space="preserve">   Parties d'appareils d'éclairage, de lampes-réclames, d'enseignes lumineuses, de plaques indicatrices lumineuses, et simil., n.d.a.</v>
      </c>
      <c r="C7797">
        <v>3328997</v>
      </c>
      <c r="D7797">
        <v>3202</v>
      </c>
    </row>
    <row r="7798" spans="1:4" x14ac:dyDescent="0.25">
      <c r="A7798" t="str">
        <f>T("   960839")</f>
        <v xml:space="preserve">   960839</v>
      </c>
      <c r="B7798" t="str">
        <f>T("   Stylos à plume et autres stylos (autres qu'à dessiner à l'encre de Chine)")</f>
        <v xml:space="preserve">   Stylos à plume et autres stylos (autres qu'à dessiner à l'encre de Chine)</v>
      </c>
      <c r="C7798">
        <v>132504</v>
      </c>
      <c r="D7798">
        <v>805</v>
      </c>
    </row>
    <row r="7799" spans="1:4" x14ac:dyDescent="0.25">
      <c r="A7799" t="str">
        <f>T("MC")</f>
        <v>MC</v>
      </c>
      <c r="B7799" t="str">
        <f>T("Monaco")</f>
        <v>Monaco</v>
      </c>
    </row>
    <row r="7800" spans="1:4" x14ac:dyDescent="0.25">
      <c r="A7800" t="str">
        <f>T("   ZZ_Total_Produit_SH6")</f>
        <v xml:space="preserve">   ZZ_Total_Produit_SH6</v>
      </c>
      <c r="B7800" t="str">
        <f>T("   ZZ_Total_Produit_SH6")</f>
        <v xml:space="preserve">   ZZ_Total_Produit_SH6</v>
      </c>
      <c r="C7800">
        <v>304903292</v>
      </c>
      <c r="D7800">
        <v>1317438.3999999999</v>
      </c>
    </row>
    <row r="7801" spans="1:4" x14ac:dyDescent="0.25">
      <c r="A7801" t="str">
        <f>T("   030379")</f>
        <v xml:space="preserve">   030379</v>
      </c>
      <c r="B7801" t="s">
        <v>16</v>
      </c>
      <c r="C7801">
        <v>296239500</v>
      </c>
      <c r="D7801">
        <v>1316620</v>
      </c>
    </row>
    <row r="7802" spans="1:4" x14ac:dyDescent="0.25">
      <c r="A7802" t="str">
        <f>T("   481940")</f>
        <v xml:space="preserve">   481940</v>
      </c>
      <c r="B7802"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7802">
        <v>1407200</v>
      </c>
      <c r="D7802">
        <v>12</v>
      </c>
    </row>
    <row r="7803" spans="1:4" x14ac:dyDescent="0.25">
      <c r="A7803" t="str">
        <f>T("   490199")</f>
        <v xml:space="preserve">   490199</v>
      </c>
      <c r="B78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803">
        <v>1705</v>
      </c>
      <c r="D7803">
        <v>13</v>
      </c>
    </row>
    <row r="7804" spans="1:4" x14ac:dyDescent="0.25">
      <c r="A7804" t="str">
        <f>T("   490700")</f>
        <v xml:space="preserve">   490700</v>
      </c>
      <c r="B7804" t="s">
        <v>237</v>
      </c>
      <c r="C7804">
        <v>5702354</v>
      </c>
      <c r="D7804">
        <v>263</v>
      </c>
    </row>
    <row r="7805" spans="1:4" x14ac:dyDescent="0.25">
      <c r="A7805" t="str">
        <f>T("   491110")</f>
        <v xml:space="preserve">   491110</v>
      </c>
      <c r="B7805" t="str">
        <f>T("   Imprimés publicitaires, catalogues commerciaux et simil.")</f>
        <v xml:space="preserve">   Imprimés publicitaires, catalogues commerciaux et simil.</v>
      </c>
      <c r="C7805">
        <v>200000</v>
      </c>
      <c r="D7805">
        <v>58</v>
      </c>
    </row>
    <row r="7806" spans="1:4" x14ac:dyDescent="0.25">
      <c r="A7806" t="str">
        <f>T("   640590")</f>
        <v xml:space="preserve">   640590</v>
      </c>
      <c r="B7806" t="s">
        <v>311</v>
      </c>
      <c r="C7806">
        <v>271600</v>
      </c>
      <c r="D7806">
        <v>175</v>
      </c>
    </row>
    <row r="7807" spans="1:4" x14ac:dyDescent="0.25">
      <c r="A7807" t="str">
        <f>T("   841430")</f>
        <v xml:space="preserve">   841430</v>
      </c>
      <c r="B7807" t="str">
        <f>T("   Compresseurs des types utilisés pour équipements frigorifiques")</f>
        <v xml:space="preserve">   Compresseurs des types utilisés pour équipements frigorifiques</v>
      </c>
      <c r="C7807">
        <v>864933</v>
      </c>
      <c r="D7807">
        <v>2.4</v>
      </c>
    </row>
    <row r="7808" spans="1:4" x14ac:dyDescent="0.25">
      <c r="A7808" t="str">
        <f>T("   853669")</f>
        <v xml:space="preserve">   853669</v>
      </c>
      <c r="B7808" t="str">
        <f>T("   Fiches et prises de courant, pour une tension &lt;= 1.000 V (sauf douilles pour lampes)")</f>
        <v xml:space="preserve">   Fiches et prises de courant, pour une tension &lt;= 1.000 V (sauf douilles pour lampes)</v>
      </c>
      <c r="C7808">
        <v>216000</v>
      </c>
      <c r="D7808">
        <v>295</v>
      </c>
    </row>
    <row r="7809" spans="1:4" x14ac:dyDescent="0.25">
      <c r="A7809" t="str">
        <f>T("MG")</f>
        <v>MG</v>
      </c>
      <c r="B7809" t="str">
        <f>T("Madagascar")</f>
        <v>Madagascar</v>
      </c>
    </row>
    <row r="7810" spans="1:4" x14ac:dyDescent="0.25">
      <c r="A7810" t="str">
        <f>T("   ZZ_Total_Produit_SH6")</f>
        <v xml:space="preserve">   ZZ_Total_Produit_SH6</v>
      </c>
      <c r="B7810" t="str">
        <f>T("   ZZ_Total_Produit_SH6")</f>
        <v xml:space="preserve">   ZZ_Total_Produit_SH6</v>
      </c>
      <c r="C7810">
        <v>312915950</v>
      </c>
      <c r="D7810">
        <v>1184615</v>
      </c>
    </row>
    <row r="7811" spans="1:4" x14ac:dyDescent="0.25">
      <c r="A7811" t="str">
        <f>T("   220710")</f>
        <v xml:space="preserve">   220710</v>
      </c>
      <c r="B7811" t="str">
        <f>T("   Alcool éthylique non dénaturé d'un titre alcoométrique volumique &gt;= 80% vol")</f>
        <v xml:space="preserve">   Alcool éthylique non dénaturé d'un titre alcoométrique volumique &gt;= 80% vol</v>
      </c>
      <c r="C7811">
        <v>68219840</v>
      </c>
      <c r="D7811">
        <v>419120</v>
      </c>
    </row>
    <row r="7812" spans="1:4" x14ac:dyDescent="0.25">
      <c r="A7812" t="str">
        <f>T("   290529")</f>
        <v xml:space="preserve">   290529</v>
      </c>
      <c r="B7812" t="str">
        <f>T("   MONOALCOOLS ACYCLIQUES NON-SATURÉS (À L'EXCL. DES ALCOOLS TERPÉNIQUES ACYCLIQUES)")</f>
        <v xml:space="preserve">   MONOALCOOLS ACYCLIQUES NON-SATURÉS (À L'EXCL. DES ALCOOLS TERPÉNIQUES ACYCLIQUES)</v>
      </c>
      <c r="C7812">
        <v>236145600</v>
      </c>
      <c r="D7812">
        <v>761245</v>
      </c>
    </row>
    <row r="7813" spans="1:4" x14ac:dyDescent="0.25">
      <c r="A7813" t="str">
        <f>T("   853929")</f>
        <v xml:space="preserve">   853929</v>
      </c>
      <c r="B7813"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7813">
        <v>95000</v>
      </c>
      <c r="D7813">
        <v>100</v>
      </c>
    </row>
    <row r="7814" spans="1:4" x14ac:dyDescent="0.25">
      <c r="A7814" t="str">
        <f>T("   870323")</f>
        <v xml:space="preserve">   870323</v>
      </c>
      <c r="B7814" t="s">
        <v>507</v>
      </c>
      <c r="C7814">
        <v>5774054</v>
      </c>
      <c r="D7814">
        <v>1750</v>
      </c>
    </row>
    <row r="7815" spans="1:4" x14ac:dyDescent="0.25">
      <c r="A7815" t="str">
        <f>T("   870421")</f>
        <v xml:space="preserve">   870421</v>
      </c>
      <c r="B7815" t="s">
        <v>512</v>
      </c>
      <c r="C7815">
        <v>2461456</v>
      </c>
      <c r="D7815">
        <v>2200</v>
      </c>
    </row>
    <row r="7816" spans="1:4" x14ac:dyDescent="0.25">
      <c r="A7816" t="str">
        <f>T("   940380")</f>
        <v xml:space="preserve">   940380</v>
      </c>
      <c r="B7816" t="str">
        <f>T("   Meubles en rotin, osier, bambou ou autres matières (sauf métal, bois et matières plastiques)")</f>
        <v xml:space="preserve">   Meubles en rotin, osier, bambou ou autres matières (sauf métal, bois et matières plastiques)</v>
      </c>
      <c r="C7816">
        <v>220000</v>
      </c>
      <c r="D7816">
        <v>200</v>
      </c>
    </row>
    <row r="7817" spans="1:4" x14ac:dyDescent="0.25">
      <c r="A7817" t="str">
        <f>T("ML")</f>
        <v>ML</v>
      </c>
      <c r="B7817" t="str">
        <f>T("Mali")</f>
        <v>Mali</v>
      </c>
    </row>
    <row r="7818" spans="1:4" x14ac:dyDescent="0.25">
      <c r="A7818" t="str">
        <f>T("   ZZ_Total_Produit_SH6")</f>
        <v xml:space="preserve">   ZZ_Total_Produit_SH6</v>
      </c>
      <c r="B7818" t="str">
        <f>T("   ZZ_Total_Produit_SH6")</f>
        <v xml:space="preserve">   ZZ_Total_Produit_SH6</v>
      </c>
      <c r="C7818">
        <v>178057565</v>
      </c>
      <c r="D7818">
        <v>14815</v>
      </c>
    </row>
    <row r="7819" spans="1:4" x14ac:dyDescent="0.25">
      <c r="A7819" t="str">
        <f>T("   250490")</f>
        <v xml:space="preserve">   250490</v>
      </c>
      <c r="B7819" t="str">
        <f>T("   Graphite naturel (autre qu'en poudre ou en paillettes)")</f>
        <v xml:space="preserve">   Graphite naturel (autre qu'en poudre ou en paillettes)</v>
      </c>
      <c r="C7819">
        <v>119713</v>
      </c>
      <c r="D7819">
        <v>40</v>
      </c>
    </row>
    <row r="7820" spans="1:4" x14ac:dyDescent="0.25">
      <c r="A7820" t="str">
        <f>T("   282735")</f>
        <v xml:space="preserve">   282735</v>
      </c>
      <c r="B7820" t="str">
        <f>T("   CHLORURE DE NICKEL")</f>
        <v xml:space="preserve">   CHLORURE DE NICKEL</v>
      </c>
      <c r="C7820">
        <v>382425</v>
      </c>
      <c r="D7820">
        <v>210</v>
      </c>
    </row>
    <row r="7821" spans="1:4" x14ac:dyDescent="0.25">
      <c r="A7821" t="str">
        <f>T("   300490")</f>
        <v xml:space="preserve">   300490</v>
      </c>
      <c r="B7821" t="s">
        <v>84</v>
      </c>
      <c r="C7821">
        <v>106008995</v>
      </c>
      <c r="D7821">
        <v>4890</v>
      </c>
    </row>
    <row r="7822" spans="1:4" x14ac:dyDescent="0.25">
      <c r="A7822" t="str">
        <f>T("   392490")</f>
        <v xml:space="preserve">   392490</v>
      </c>
      <c r="B7822" t="s">
        <v>157</v>
      </c>
      <c r="C7822">
        <v>662211</v>
      </c>
      <c r="D7822">
        <v>24</v>
      </c>
    </row>
    <row r="7823" spans="1:4" x14ac:dyDescent="0.25">
      <c r="A7823" t="str">
        <f>T("   490700")</f>
        <v xml:space="preserve">   490700</v>
      </c>
      <c r="B7823" t="s">
        <v>237</v>
      </c>
      <c r="C7823">
        <v>509600</v>
      </c>
      <c r="D7823">
        <v>237</v>
      </c>
    </row>
    <row r="7824" spans="1:4" x14ac:dyDescent="0.25">
      <c r="A7824" t="str">
        <f>T("   620339")</f>
        <v xml:space="preserve">   620339</v>
      </c>
      <c r="B7824"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7824">
        <v>1324416</v>
      </c>
      <c r="D7824">
        <v>99</v>
      </c>
    </row>
    <row r="7825" spans="1:4" x14ac:dyDescent="0.25">
      <c r="A7825" t="str">
        <f>T("   847180")</f>
        <v xml:space="preserve">   847180</v>
      </c>
      <c r="B782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825">
        <v>25515532</v>
      </c>
      <c r="D7825">
        <v>395</v>
      </c>
    </row>
    <row r="7826" spans="1:4" x14ac:dyDescent="0.25">
      <c r="A7826" t="str">
        <f>T("   851761")</f>
        <v xml:space="preserve">   851761</v>
      </c>
      <c r="B7826" t="str">
        <f>T("   STATIONS DE BASE POUR LA TRANSMISSION OU LA RÉCEPTION DE LA VOIX, D'IMAGES OU D'AUTRES DONNÉES, D'UN RESEAU SANS FIL")</f>
        <v xml:space="preserve">   STATIONS DE BASE POUR LA TRANSMISSION OU LA RÉCEPTION DE LA VOIX, D'IMAGES OU D'AUTRES DONNÉES, D'UN RESEAU SANS FIL</v>
      </c>
      <c r="C7826">
        <v>24880241</v>
      </c>
      <c r="D7826">
        <v>2517</v>
      </c>
    </row>
    <row r="7827" spans="1:4" x14ac:dyDescent="0.25">
      <c r="A7827" t="str">
        <f>T("   852550")</f>
        <v xml:space="preserve">   852550</v>
      </c>
      <c r="B7827" t="str">
        <f>T("   APPAREILS D'ÉMISSION POUR LA RADIODIFFUSION OU LA TÉLÉVISION, SANS APPAREIL DE RÉCEPTION")</f>
        <v xml:space="preserve">   APPAREILS D'ÉMISSION POUR LA RADIODIFFUSION OU LA TÉLÉVISION, SANS APPAREIL DE RÉCEPTION</v>
      </c>
      <c r="C7827">
        <v>3157135</v>
      </c>
      <c r="D7827">
        <v>300</v>
      </c>
    </row>
    <row r="7828" spans="1:4" x14ac:dyDescent="0.25">
      <c r="A7828" t="str">
        <f>T("   870323")</f>
        <v xml:space="preserve">   870323</v>
      </c>
      <c r="B7828" t="s">
        <v>507</v>
      </c>
      <c r="C7828">
        <v>11120128</v>
      </c>
      <c r="D7828">
        <v>1690</v>
      </c>
    </row>
    <row r="7829" spans="1:4" x14ac:dyDescent="0.25">
      <c r="A7829" t="str">
        <f>T("   870333")</f>
        <v xml:space="preserve">   870333</v>
      </c>
      <c r="B7829" t="s">
        <v>511</v>
      </c>
      <c r="C7829">
        <v>2132548</v>
      </c>
      <c r="D7829">
        <v>1240</v>
      </c>
    </row>
    <row r="7830" spans="1:4" x14ac:dyDescent="0.25">
      <c r="A7830" t="str">
        <f>T("   870899")</f>
        <v xml:space="preserve">   870899</v>
      </c>
      <c r="B783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830">
        <v>244621</v>
      </c>
      <c r="D7830">
        <v>313</v>
      </c>
    </row>
    <row r="7831" spans="1:4" x14ac:dyDescent="0.25">
      <c r="A7831" t="str">
        <f>T("   940360")</f>
        <v xml:space="preserve">   940360</v>
      </c>
      <c r="B7831" t="str">
        <f>T("   Meubles en bois (autres que pour bureaux, cuisines ou chambres à coucher et autres que sièges)")</f>
        <v xml:space="preserve">   Meubles en bois (autres que pour bureaux, cuisines ou chambres à coucher et autres que sièges)</v>
      </c>
      <c r="C7831">
        <v>2000000</v>
      </c>
      <c r="D7831">
        <v>2860</v>
      </c>
    </row>
    <row r="7832" spans="1:4" x14ac:dyDescent="0.25">
      <c r="A7832" t="str">
        <f>T("MN")</f>
        <v>MN</v>
      </c>
      <c r="B7832" t="str">
        <f>T("Mongolie")</f>
        <v>Mongolie</v>
      </c>
    </row>
    <row r="7833" spans="1:4" x14ac:dyDescent="0.25">
      <c r="A7833" t="str">
        <f>T("   ZZ_Total_Produit_SH6")</f>
        <v xml:space="preserve">   ZZ_Total_Produit_SH6</v>
      </c>
      <c r="B7833" t="str">
        <f>T("   ZZ_Total_Produit_SH6")</f>
        <v xml:space="preserve">   ZZ_Total_Produit_SH6</v>
      </c>
      <c r="C7833">
        <v>950000</v>
      </c>
      <c r="D7833">
        <v>170</v>
      </c>
    </row>
    <row r="7834" spans="1:4" x14ac:dyDescent="0.25">
      <c r="A7834" t="str">
        <f>T("   300420")</f>
        <v xml:space="preserve">   300420</v>
      </c>
      <c r="B7834" t="s">
        <v>79</v>
      </c>
      <c r="C7834">
        <v>950000</v>
      </c>
      <c r="D7834">
        <v>170</v>
      </c>
    </row>
    <row r="7835" spans="1:4" x14ac:dyDescent="0.25">
      <c r="A7835" t="str">
        <f>T("MR")</f>
        <v>MR</v>
      </c>
      <c r="B7835" t="str">
        <f>T("Mauritanie")</f>
        <v>Mauritanie</v>
      </c>
    </row>
    <row r="7836" spans="1:4" x14ac:dyDescent="0.25">
      <c r="A7836" t="str">
        <f>T("   ZZ_Total_Produit_SH6")</f>
        <v xml:space="preserve">   ZZ_Total_Produit_SH6</v>
      </c>
      <c r="B7836" t="str">
        <f>T("   ZZ_Total_Produit_SH6")</f>
        <v xml:space="preserve">   ZZ_Total_Produit_SH6</v>
      </c>
      <c r="C7836">
        <v>3736502546</v>
      </c>
      <c r="D7836">
        <v>16468625</v>
      </c>
    </row>
    <row r="7837" spans="1:4" x14ac:dyDescent="0.25">
      <c r="A7837" t="str">
        <f>T("   030379")</f>
        <v xml:space="preserve">   030379</v>
      </c>
      <c r="B7837" t="s">
        <v>16</v>
      </c>
      <c r="C7837">
        <v>3699936319</v>
      </c>
      <c r="D7837">
        <v>16444248</v>
      </c>
    </row>
    <row r="7838" spans="1:4" x14ac:dyDescent="0.25">
      <c r="A7838" t="str">
        <f>T("   300490")</f>
        <v xml:space="preserve">   300490</v>
      </c>
      <c r="B7838" t="s">
        <v>84</v>
      </c>
      <c r="C7838">
        <v>8906919</v>
      </c>
      <c r="D7838">
        <v>83</v>
      </c>
    </row>
    <row r="7839" spans="1:4" x14ac:dyDescent="0.25">
      <c r="A7839" t="str">
        <f>T("   620590")</f>
        <v xml:space="preserve">   620590</v>
      </c>
      <c r="B783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839">
        <v>1200000</v>
      </c>
      <c r="D7839">
        <v>1385</v>
      </c>
    </row>
    <row r="7840" spans="1:4" x14ac:dyDescent="0.25">
      <c r="A7840" t="str">
        <f>T("   732394")</f>
        <v xml:space="preserve">   732394</v>
      </c>
      <c r="B7840" t="s">
        <v>389</v>
      </c>
      <c r="C7840">
        <v>400000</v>
      </c>
      <c r="D7840">
        <v>800</v>
      </c>
    </row>
    <row r="7841" spans="1:4" x14ac:dyDescent="0.25">
      <c r="A7841" t="str">
        <f>T("   850433")</f>
        <v xml:space="preserve">   850433</v>
      </c>
      <c r="B7841" t="str">
        <f>T("   Transformateurs à sec, puissance &gt; 16 kVA mais &lt;= 500 kVA")</f>
        <v xml:space="preserve">   Transformateurs à sec, puissance &gt; 16 kVA mais &lt;= 500 kVA</v>
      </c>
      <c r="C7841">
        <v>5357225</v>
      </c>
      <c r="D7841">
        <v>7515</v>
      </c>
    </row>
    <row r="7842" spans="1:4" x14ac:dyDescent="0.25">
      <c r="A7842" t="str">
        <f>T("   850434")</f>
        <v xml:space="preserve">   850434</v>
      </c>
      <c r="B7842" t="str">
        <f>T("   Transformateurs à sec, puissance &gt; 500 kVA")</f>
        <v xml:space="preserve">   Transformateurs à sec, puissance &gt; 500 kVA</v>
      </c>
      <c r="C7842">
        <v>5838044</v>
      </c>
      <c r="D7842">
        <v>8075</v>
      </c>
    </row>
    <row r="7843" spans="1:4" x14ac:dyDescent="0.25">
      <c r="A7843" t="str">
        <f>T("   852869")</f>
        <v xml:space="preserve">   852869</v>
      </c>
      <c r="B7843"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7843">
        <v>70000</v>
      </c>
      <c r="D7843">
        <v>19</v>
      </c>
    </row>
    <row r="7844" spans="1:4" x14ac:dyDescent="0.25">
      <c r="A7844" t="str">
        <f>T("   870324")</f>
        <v xml:space="preserve">   870324</v>
      </c>
      <c r="B7844" t="s">
        <v>508</v>
      </c>
      <c r="C7844">
        <v>13094039</v>
      </c>
      <c r="D7844">
        <v>2800</v>
      </c>
    </row>
    <row r="7845" spans="1:4" x14ac:dyDescent="0.25">
      <c r="A7845" t="str">
        <f>T("   940350")</f>
        <v xml:space="preserve">   940350</v>
      </c>
      <c r="B7845" t="str">
        <f>T("   Meubles pour chambres à coucher, en bois (sauf sièges)")</f>
        <v xml:space="preserve">   Meubles pour chambres à coucher, en bois (sauf sièges)</v>
      </c>
      <c r="C7845">
        <v>1700000</v>
      </c>
      <c r="D7845">
        <v>3700</v>
      </c>
    </row>
    <row r="7846" spans="1:4" x14ac:dyDescent="0.25">
      <c r="A7846" t="str">
        <f>T("MS")</f>
        <v>MS</v>
      </c>
      <c r="B7846" t="str">
        <f>T("Montserrat")</f>
        <v>Montserrat</v>
      </c>
    </row>
    <row r="7847" spans="1:4" x14ac:dyDescent="0.25">
      <c r="A7847" t="str">
        <f>T("   ZZ_Total_Produit_SH6")</f>
        <v xml:space="preserve">   ZZ_Total_Produit_SH6</v>
      </c>
      <c r="B7847" t="str">
        <f>T("   ZZ_Total_Produit_SH6")</f>
        <v xml:space="preserve">   ZZ_Total_Produit_SH6</v>
      </c>
      <c r="C7847">
        <v>239785</v>
      </c>
      <c r="D7847">
        <v>34</v>
      </c>
    </row>
    <row r="7848" spans="1:4" x14ac:dyDescent="0.25">
      <c r="A7848" t="str">
        <f>T("   901890")</f>
        <v xml:space="preserve">   901890</v>
      </c>
      <c r="B7848" t="str">
        <f>T("   Instruments et appareils pour la médecine, la chirurgie ou l'art vétérinaire, n.d.a.")</f>
        <v xml:space="preserve">   Instruments et appareils pour la médecine, la chirurgie ou l'art vétérinaire, n.d.a.</v>
      </c>
      <c r="C7848">
        <v>239785</v>
      </c>
      <c r="D7848">
        <v>34</v>
      </c>
    </row>
    <row r="7849" spans="1:4" x14ac:dyDescent="0.25">
      <c r="A7849" t="str">
        <f>T("MU")</f>
        <v>MU</v>
      </c>
      <c r="B7849" t="str">
        <f>T("Maurice, île")</f>
        <v>Maurice, île</v>
      </c>
    </row>
    <row r="7850" spans="1:4" x14ac:dyDescent="0.25">
      <c r="A7850" t="str">
        <f>T("   ZZ_Total_Produit_SH6")</f>
        <v xml:space="preserve">   ZZ_Total_Produit_SH6</v>
      </c>
      <c r="B7850" t="str">
        <f>T("   ZZ_Total_Produit_SH6")</f>
        <v xml:space="preserve">   ZZ_Total_Produit_SH6</v>
      </c>
      <c r="C7850">
        <v>5722070</v>
      </c>
      <c r="D7850">
        <v>27500</v>
      </c>
    </row>
    <row r="7851" spans="1:4" x14ac:dyDescent="0.25">
      <c r="A7851" t="str">
        <f>T("   220421")</f>
        <v xml:space="preserve">   220421</v>
      </c>
      <c r="B785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7851">
        <v>3700270</v>
      </c>
      <c r="D7851">
        <v>24140</v>
      </c>
    </row>
    <row r="7852" spans="1:4" x14ac:dyDescent="0.25">
      <c r="A7852" t="str">
        <f>T("   300490")</f>
        <v xml:space="preserve">   300490</v>
      </c>
      <c r="B7852" t="s">
        <v>84</v>
      </c>
      <c r="C7852">
        <v>1693820</v>
      </c>
      <c r="D7852">
        <v>3240</v>
      </c>
    </row>
    <row r="7853" spans="1:4" x14ac:dyDescent="0.25">
      <c r="A7853" t="str">
        <f>T("   610990")</f>
        <v xml:space="preserve">   610990</v>
      </c>
      <c r="B7853" t="str">
        <f>T("   T-shirts et maillots de corps, en bonneterie, de matières textiles (sauf de coton)")</f>
        <v xml:space="preserve">   T-shirts et maillots de corps, en bonneterie, de matières textiles (sauf de coton)</v>
      </c>
      <c r="C7853">
        <v>327980</v>
      </c>
      <c r="D7853">
        <v>120</v>
      </c>
    </row>
    <row r="7854" spans="1:4" x14ac:dyDescent="0.25">
      <c r="A7854" t="str">
        <f>T("MV")</f>
        <v>MV</v>
      </c>
      <c r="B7854" t="str">
        <f>T("Maldives")</f>
        <v>Maldives</v>
      </c>
    </row>
    <row r="7855" spans="1:4" x14ac:dyDescent="0.25">
      <c r="A7855" t="str">
        <f>T("   ZZ_Total_Produit_SH6")</f>
        <v xml:space="preserve">   ZZ_Total_Produit_SH6</v>
      </c>
      <c r="B7855" t="str">
        <f>T("   ZZ_Total_Produit_SH6")</f>
        <v xml:space="preserve">   ZZ_Total_Produit_SH6</v>
      </c>
      <c r="C7855">
        <v>2362239</v>
      </c>
      <c r="D7855">
        <v>1022</v>
      </c>
    </row>
    <row r="7856" spans="1:4" x14ac:dyDescent="0.25">
      <c r="A7856" t="str">
        <f>T("   841121")</f>
        <v xml:space="preserve">   841121</v>
      </c>
      <c r="B7856" t="str">
        <f>T("   Turbopropulseurs, puissance &lt;= 1.100 kW")</f>
        <v xml:space="preserve">   Turbopropulseurs, puissance &lt;= 1.100 kW</v>
      </c>
      <c r="C7856">
        <v>2197265</v>
      </c>
      <c r="D7856">
        <v>892</v>
      </c>
    </row>
    <row r="7857" spans="1:4" x14ac:dyDescent="0.25">
      <c r="A7857" t="str">
        <f>T("   853290")</f>
        <v xml:space="preserve">   853290</v>
      </c>
      <c r="B7857" t="str">
        <f>T("   Parties de condensateurs électriques fixes, variables ou ajustables, n.d.a.")</f>
        <v xml:space="preserve">   Parties de condensateurs électriques fixes, variables ou ajustables, n.d.a.</v>
      </c>
      <c r="C7857">
        <v>164974</v>
      </c>
      <c r="D7857">
        <v>130</v>
      </c>
    </row>
    <row r="7858" spans="1:4" x14ac:dyDescent="0.25">
      <c r="A7858" t="str">
        <f>T("MY")</f>
        <v>MY</v>
      </c>
      <c r="B7858" t="str">
        <f>T("Malaisie")</f>
        <v>Malaisie</v>
      </c>
    </row>
    <row r="7859" spans="1:4" x14ac:dyDescent="0.25">
      <c r="A7859" t="str">
        <f>T("   ZZ_Total_Produit_SH6")</f>
        <v xml:space="preserve">   ZZ_Total_Produit_SH6</v>
      </c>
      <c r="B7859" t="str">
        <f>T("   ZZ_Total_Produit_SH6")</f>
        <v xml:space="preserve">   ZZ_Total_Produit_SH6</v>
      </c>
      <c r="C7859">
        <v>36732618374.093002</v>
      </c>
      <c r="D7859">
        <v>114453102.52</v>
      </c>
    </row>
    <row r="7860" spans="1:4" x14ac:dyDescent="0.25">
      <c r="A7860" t="str">
        <f>T("   040210")</f>
        <v xml:space="preserve">   040210</v>
      </c>
      <c r="B786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860">
        <v>833904896</v>
      </c>
      <c r="D7860">
        <v>627949</v>
      </c>
    </row>
    <row r="7861" spans="1:4" x14ac:dyDescent="0.25">
      <c r="A7861" t="str">
        <f>T("   040221")</f>
        <v xml:space="preserve">   040221</v>
      </c>
      <c r="B786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7861">
        <v>34985626</v>
      </c>
      <c r="D7861">
        <v>17750</v>
      </c>
    </row>
    <row r="7862" spans="1:4" x14ac:dyDescent="0.25">
      <c r="A7862" t="str">
        <f>T("   040229")</f>
        <v xml:space="preserve">   040229</v>
      </c>
      <c r="B7862"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862">
        <v>145788422</v>
      </c>
      <c r="D7862">
        <v>207100</v>
      </c>
    </row>
    <row r="7863" spans="1:4" x14ac:dyDescent="0.25">
      <c r="A7863" t="str">
        <f>T("   040299")</f>
        <v xml:space="preserve">   040299</v>
      </c>
      <c r="B7863"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863">
        <v>641535526</v>
      </c>
      <c r="D7863">
        <v>1106928</v>
      </c>
    </row>
    <row r="7864" spans="1:4" x14ac:dyDescent="0.25">
      <c r="A7864" t="str">
        <f>T("   040390")</f>
        <v xml:space="preserve">   040390</v>
      </c>
      <c r="B7864"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7864">
        <v>61171995</v>
      </c>
      <c r="D7864">
        <v>200380</v>
      </c>
    </row>
    <row r="7865" spans="1:4" x14ac:dyDescent="0.25">
      <c r="A7865" t="str">
        <f>T("   100630")</f>
        <v xml:space="preserve">   100630</v>
      </c>
      <c r="B7865" t="str">
        <f>T("   Riz semi-blanchi ou blanchi, même poli ou glacé")</f>
        <v xml:space="preserve">   Riz semi-blanchi ou blanchi, même poli ou glacé</v>
      </c>
      <c r="C7865">
        <v>73030310.439999998</v>
      </c>
      <c r="D7865">
        <v>260940</v>
      </c>
    </row>
    <row r="7866" spans="1:4" x14ac:dyDescent="0.25">
      <c r="A7866" t="str">
        <f>T("   150790")</f>
        <v xml:space="preserve">   150790</v>
      </c>
      <c r="B7866" t="str">
        <f>T("   Huile de soja et ses fractions, même raffinées, mais non chimiquement modifiées (à l'excl. de l'huile de soja brute)")</f>
        <v xml:space="preserve">   Huile de soja et ses fractions, même raffinées, mais non chimiquement modifiées (à l'excl. de l'huile de soja brute)</v>
      </c>
      <c r="C7866">
        <v>8375000</v>
      </c>
      <c r="D7866">
        <v>33500</v>
      </c>
    </row>
    <row r="7867" spans="1:4" x14ac:dyDescent="0.25">
      <c r="A7867" t="str">
        <f>T("   150810")</f>
        <v xml:space="preserve">   150810</v>
      </c>
      <c r="B7867" t="str">
        <f>T("   Huile d'arachide, brute")</f>
        <v xml:space="preserve">   Huile d'arachide, brute</v>
      </c>
      <c r="C7867">
        <v>101767500</v>
      </c>
      <c r="D7867">
        <v>407070</v>
      </c>
    </row>
    <row r="7868" spans="1:4" x14ac:dyDescent="0.25">
      <c r="A7868" t="str">
        <f>T("   150890")</f>
        <v xml:space="preserve">   150890</v>
      </c>
      <c r="B7868" t="str">
        <f>T("   Huile d'arachide et ses fractions, même raffinées, mais non chimiquement modifiées (à l'excl. de l'huile d'arachide brute)")</f>
        <v xml:space="preserve">   Huile d'arachide et ses fractions, même raffinées, mais non chimiquement modifiées (à l'excl. de l'huile d'arachide brute)</v>
      </c>
      <c r="C7868">
        <v>2148078387.1490002</v>
      </c>
      <c r="D7868">
        <v>5422487</v>
      </c>
    </row>
    <row r="7869" spans="1:4" x14ac:dyDescent="0.25">
      <c r="A7869" t="str">
        <f>T("   151110")</f>
        <v xml:space="preserve">   151110</v>
      </c>
      <c r="B7869" t="str">
        <f>T("   Huile de palme, brute")</f>
        <v xml:space="preserve">   Huile de palme, brute</v>
      </c>
      <c r="C7869">
        <v>269910000</v>
      </c>
      <c r="D7869">
        <v>1079640</v>
      </c>
    </row>
    <row r="7870" spans="1:4" x14ac:dyDescent="0.25">
      <c r="A7870" t="str">
        <f>T("   151190")</f>
        <v xml:space="preserve">   151190</v>
      </c>
      <c r="B7870" t="str">
        <f>T("   Huile de palme et ses fractions, même raffinées, mais non chimiquement modifiées (à l'excl. de l'huile de palme brute)")</f>
        <v xml:space="preserve">   Huile de palme et ses fractions, même raffinées, mais non chimiquement modifiées (à l'excl. de l'huile de palme brute)</v>
      </c>
      <c r="C7870">
        <v>22183725360.504002</v>
      </c>
      <c r="D7870">
        <v>65953583.520000003</v>
      </c>
    </row>
    <row r="7871" spans="1:4" x14ac:dyDescent="0.25">
      <c r="A7871" t="str">
        <f>T("   151329")</f>
        <v xml:space="preserve">   151329</v>
      </c>
      <c r="B7871"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7871">
        <v>59850000</v>
      </c>
      <c r="D7871">
        <v>239400</v>
      </c>
    </row>
    <row r="7872" spans="1:4" x14ac:dyDescent="0.25">
      <c r="A7872" t="str">
        <f>T("   151590")</f>
        <v xml:space="preserve">   151590</v>
      </c>
      <c r="B7872" t="s">
        <v>37</v>
      </c>
      <c r="C7872">
        <v>22000000</v>
      </c>
      <c r="D7872">
        <v>88000</v>
      </c>
    </row>
    <row r="7873" spans="1:4" x14ac:dyDescent="0.25">
      <c r="A7873" t="str">
        <f>T("   151620")</f>
        <v xml:space="preserve">   151620</v>
      </c>
      <c r="B7873"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873">
        <v>8781513405</v>
      </c>
      <c r="D7873">
        <v>34715020</v>
      </c>
    </row>
    <row r="7874" spans="1:4" x14ac:dyDescent="0.25">
      <c r="A7874" t="str">
        <f>T("   151790")</f>
        <v xml:space="preserve">   151790</v>
      </c>
      <c r="B7874" t="s">
        <v>38</v>
      </c>
      <c r="C7874">
        <v>27500000</v>
      </c>
      <c r="D7874">
        <v>110000</v>
      </c>
    </row>
    <row r="7875" spans="1:4" x14ac:dyDescent="0.25">
      <c r="A7875" t="str">
        <f>T("   170490")</f>
        <v xml:space="preserve">   170490</v>
      </c>
      <c r="B7875" t="str">
        <f>T("   Sucreries sans cacao, y.c. le chocolat blanc (à l'excl. des gommes à mâcher)")</f>
        <v xml:space="preserve">   Sucreries sans cacao, y.c. le chocolat blanc (à l'excl. des gommes à mâcher)</v>
      </c>
      <c r="C7875">
        <v>5464147</v>
      </c>
      <c r="D7875">
        <v>18600</v>
      </c>
    </row>
    <row r="7876" spans="1:4" x14ac:dyDescent="0.25">
      <c r="A7876" t="str">
        <f>T("   190110")</f>
        <v xml:space="preserve">   190110</v>
      </c>
      <c r="B7876" t="s">
        <v>48</v>
      </c>
      <c r="C7876">
        <v>24612000</v>
      </c>
      <c r="D7876">
        <v>48000</v>
      </c>
    </row>
    <row r="7877" spans="1:4" x14ac:dyDescent="0.25">
      <c r="A7877" t="str">
        <f>T("   190190")</f>
        <v xml:space="preserve">   190190</v>
      </c>
      <c r="B7877" t="s">
        <v>50</v>
      </c>
      <c r="C7877">
        <v>500297696</v>
      </c>
      <c r="D7877">
        <v>1865275</v>
      </c>
    </row>
    <row r="7878" spans="1:4" x14ac:dyDescent="0.25">
      <c r="A7878" t="str">
        <f>T("   190230")</f>
        <v xml:space="preserve">   190230</v>
      </c>
      <c r="B7878" t="str">
        <f>T("   Pâtes alimentaires, cuites ou autrement préparées (à l'excl. des pâtes alimentaires farcies)")</f>
        <v xml:space="preserve">   Pâtes alimentaires, cuites ou autrement préparées (à l'excl. des pâtes alimentaires farcies)</v>
      </c>
      <c r="C7878">
        <v>26900267</v>
      </c>
      <c r="D7878">
        <v>198540</v>
      </c>
    </row>
    <row r="7879" spans="1:4" x14ac:dyDescent="0.25">
      <c r="A7879" t="str">
        <f>T("   190531")</f>
        <v xml:space="preserve">   190531</v>
      </c>
      <c r="B7879" t="str">
        <f>T("   Biscuits additionnés d'édulcorants")</f>
        <v xml:space="preserve">   Biscuits additionnés d'édulcorants</v>
      </c>
      <c r="C7879">
        <v>9724500</v>
      </c>
      <c r="D7879">
        <v>33000</v>
      </c>
    </row>
    <row r="7880" spans="1:4" x14ac:dyDescent="0.25">
      <c r="A7880" t="str">
        <f>T("   190590")</f>
        <v xml:space="preserve">   190590</v>
      </c>
      <c r="B7880" t="s">
        <v>52</v>
      </c>
      <c r="C7880">
        <v>18087514</v>
      </c>
      <c r="D7880">
        <v>36780</v>
      </c>
    </row>
    <row r="7881" spans="1:4" x14ac:dyDescent="0.25">
      <c r="A7881" t="str">
        <f>T("   200290")</f>
        <v xml:space="preserve">   200290</v>
      </c>
      <c r="B788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881">
        <v>75612753</v>
      </c>
      <c r="D7881">
        <v>279741</v>
      </c>
    </row>
    <row r="7882" spans="1:4" x14ac:dyDescent="0.25">
      <c r="A7882" t="str">
        <f>T("   200990")</f>
        <v xml:space="preserve">   200990</v>
      </c>
      <c r="B788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882">
        <v>8287978</v>
      </c>
      <c r="D7882">
        <v>37611</v>
      </c>
    </row>
    <row r="7883" spans="1:4" x14ac:dyDescent="0.25">
      <c r="A7883" t="str">
        <f>T("   210690")</f>
        <v xml:space="preserve">   210690</v>
      </c>
      <c r="B7883" t="str">
        <f>T("   Préparations alimentaires, n.d.a.")</f>
        <v xml:space="preserve">   Préparations alimentaires, n.d.a.</v>
      </c>
      <c r="C7883">
        <v>14438486</v>
      </c>
      <c r="D7883">
        <v>10593</v>
      </c>
    </row>
    <row r="7884" spans="1:4" x14ac:dyDescent="0.25">
      <c r="A7884" t="str">
        <f>T("   220290")</f>
        <v xml:space="preserve">   220290</v>
      </c>
      <c r="B7884" t="str">
        <f>T("   BOISSONS NON-ALCOOLIQUES (À L'EXCL. DES EAUX, DES JUS DE FRUITS OU DE LÉGUMES AINSI QUE DU LAIT)")</f>
        <v xml:space="preserve">   BOISSONS NON-ALCOOLIQUES (À L'EXCL. DES EAUX, DES JUS DE FRUITS OU DE LÉGUMES AINSI QUE DU LAIT)</v>
      </c>
      <c r="C7884">
        <v>7082400</v>
      </c>
      <c r="D7884">
        <v>80940</v>
      </c>
    </row>
    <row r="7885" spans="1:4" x14ac:dyDescent="0.25">
      <c r="A7885" t="str">
        <f>T("   300620")</f>
        <v xml:space="preserve">   300620</v>
      </c>
      <c r="B7885" t="str">
        <f>T("   Réactifs destinés à la détermination des groupes ou des facteurs sanguins")</f>
        <v xml:space="preserve">   Réactifs destinés à la détermination des groupes ou des facteurs sanguins</v>
      </c>
      <c r="C7885">
        <v>105000</v>
      </c>
      <c r="D7885">
        <v>3</v>
      </c>
    </row>
    <row r="7886" spans="1:4" x14ac:dyDescent="0.25">
      <c r="A7886" t="str">
        <f>T("   320890")</f>
        <v xml:space="preserve">   320890</v>
      </c>
      <c r="B7886" t="s">
        <v>102</v>
      </c>
      <c r="C7886">
        <v>2808821</v>
      </c>
      <c r="D7886">
        <v>2480</v>
      </c>
    </row>
    <row r="7887" spans="1:4" x14ac:dyDescent="0.25">
      <c r="A7887" t="str">
        <f>T("   330720")</f>
        <v xml:space="preserve">   330720</v>
      </c>
      <c r="B7887" t="str">
        <f>T("   Désodorisants corporels et antisudoraux, préparés")</f>
        <v xml:space="preserve">   Désodorisants corporels et antisudoraux, préparés</v>
      </c>
      <c r="C7887">
        <v>923056</v>
      </c>
      <c r="D7887">
        <v>3000</v>
      </c>
    </row>
    <row r="7888" spans="1:4" x14ac:dyDescent="0.25">
      <c r="A7888" t="str">
        <f>T("   340111")</f>
        <v xml:space="preserve">   340111</v>
      </c>
      <c r="B7888" t="s">
        <v>107</v>
      </c>
      <c r="C7888">
        <v>81917837</v>
      </c>
      <c r="D7888">
        <v>465959</v>
      </c>
    </row>
    <row r="7889" spans="1:4" x14ac:dyDescent="0.25">
      <c r="A7889" t="str">
        <f>T("   340119")</f>
        <v xml:space="preserve">   340119</v>
      </c>
      <c r="B7889" t="s">
        <v>108</v>
      </c>
      <c r="C7889">
        <v>62818287</v>
      </c>
      <c r="D7889">
        <v>338729</v>
      </c>
    </row>
    <row r="7890" spans="1:4" x14ac:dyDescent="0.25">
      <c r="A7890" t="str">
        <f>T("   340290")</f>
        <v xml:space="preserve">   340290</v>
      </c>
      <c r="B7890" t="s">
        <v>110</v>
      </c>
      <c r="C7890">
        <v>4855251</v>
      </c>
      <c r="D7890">
        <v>10018</v>
      </c>
    </row>
    <row r="7891" spans="1:4" x14ac:dyDescent="0.25">
      <c r="A7891" t="str">
        <f>T("   382490")</f>
        <v xml:space="preserve">   382490</v>
      </c>
      <c r="B7891"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891">
        <v>1585385</v>
      </c>
      <c r="D7891">
        <v>3286</v>
      </c>
    </row>
    <row r="7892" spans="1:4" x14ac:dyDescent="0.25">
      <c r="A7892" t="str">
        <f>T("   392390")</f>
        <v xml:space="preserve">   392390</v>
      </c>
      <c r="B7892" t="s">
        <v>156</v>
      </c>
      <c r="C7892">
        <v>37709647</v>
      </c>
      <c r="D7892">
        <v>16474</v>
      </c>
    </row>
    <row r="7893" spans="1:4" x14ac:dyDescent="0.25">
      <c r="A7893" t="str">
        <f>T("   401194")</f>
        <v xml:space="preserve">   401194</v>
      </c>
      <c r="B7893" t="str">
        <f>T("   Pneumatiques neufs, en caoutchouc, des types utilisés pour les véhicules et engins de génie civil et de manutention industrielle, pour jantes d'un diamètre &gt; 61 cm (à l'excl. des pneumatiques à crampons, à chevrons ou simil.)")</f>
        <v xml:space="preserve">   Pneumatiques neufs, en caoutchouc, des types utilisés pour les véhicules et engins de génie civil et de manutention industrielle, pour jantes d'un diamètre &gt; 61 cm (à l'excl. des pneumatiques à crampons, à chevrons ou simil.)</v>
      </c>
      <c r="C7893">
        <v>147979853</v>
      </c>
      <c r="D7893">
        <v>44910</v>
      </c>
    </row>
    <row r="7894" spans="1:4" x14ac:dyDescent="0.25">
      <c r="A7894" t="str">
        <f>T("   401410")</f>
        <v xml:space="preserve">   401410</v>
      </c>
      <c r="B7894" t="str">
        <f>T("   Préservatifs en caoutchouc vulcanisé non durci")</f>
        <v xml:space="preserve">   Préservatifs en caoutchouc vulcanisé non durci</v>
      </c>
      <c r="C7894">
        <v>10881985</v>
      </c>
      <c r="D7894">
        <v>263</v>
      </c>
    </row>
    <row r="7895" spans="1:4" x14ac:dyDescent="0.25">
      <c r="A7895" t="str">
        <f>T("   401511")</f>
        <v xml:space="preserve">   401511</v>
      </c>
      <c r="B7895" t="str">
        <f>T("   Gants en caoutchouc vulcanisé non durci, pour la chirurgie")</f>
        <v xml:space="preserve">   Gants en caoutchouc vulcanisé non durci, pour la chirurgie</v>
      </c>
      <c r="C7895">
        <v>30672690</v>
      </c>
      <c r="D7895">
        <v>38149</v>
      </c>
    </row>
    <row r="7896" spans="1:4" x14ac:dyDescent="0.25">
      <c r="A7896" t="str">
        <f>T("   482020")</f>
        <v xml:space="preserve">   482020</v>
      </c>
      <c r="B7896" t="str">
        <f>T("   Cahiers pour l'écriture, en papier ou carton")</f>
        <v xml:space="preserve">   Cahiers pour l'écriture, en papier ou carton</v>
      </c>
      <c r="C7896">
        <v>17648840</v>
      </c>
      <c r="D7896">
        <v>71439</v>
      </c>
    </row>
    <row r="7897" spans="1:4" x14ac:dyDescent="0.25">
      <c r="A7897" t="str">
        <f>T("   482030")</f>
        <v xml:space="preserve">   482030</v>
      </c>
      <c r="B7897" t="str">
        <f>T("   Classeurs, reliures (autres que les couvertures pour livres), chemises et couvertures à dossiers, en papier ou en carton")</f>
        <v xml:space="preserve">   Classeurs, reliures (autres que les couvertures pour livres), chemises et couvertures à dossiers, en papier ou en carton</v>
      </c>
      <c r="C7897">
        <v>3742098</v>
      </c>
      <c r="D7897">
        <v>7756</v>
      </c>
    </row>
    <row r="7898" spans="1:4" x14ac:dyDescent="0.25">
      <c r="A7898" t="str">
        <f>T("   491110")</f>
        <v xml:space="preserve">   491110</v>
      </c>
      <c r="B7898" t="str">
        <f>T("   Imprimés publicitaires, catalogues commerciaux et simil.")</f>
        <v xml:space="preserve">   Imprimés publicitaires, catalogues commerciaux et simil.</v>
      </c>
      <c r="C7898">
        <v>3734738</v>
      </c>
      <c r="D7898">
        <v>5296</v>
      </c>
    </row>
    <row r="7899" spans="1:4" x14ac:dyDescent="0.25">
      <c r="A7899" t="str">
        <f>T("   630900")</f>
        <v xml:space="preserve">   630900</v>
      </c>
      <c r="B7899" t="s">
        <v>300</v>
      </c>
      <c r="C7899">
        <v>21940000</v>
      </c>
      <c r="D7899">
        <v>47250</v>
      </c>
    </row>
    <row r="7900" spans="1:4" x14ac:dyDescent="0.25">
      <c r="A7900" t="str">
        <f>T("   701310")</f>
        <v xml:space="preserve">   701310</v>
      </c>
      <c r="B7900" t="s">
        <v>351</v>
      </c>
      <c r="C7900">
        <v>3241754</v>
      </c>
      <c r="D7900">
        <v>4500</v>
      </c>
    </row>
    <row r="7901" spans="1:4" x14ac:dyDescent="0.25">
      <c r="A7901" t="str">
        <f>T("   701337")</f>
        <v xml:space="preserve">   701337</v>
      </c>
      <c r="B7901" t="str">
        <f>T("   VERRES À BOIRE (À L'EXCL. DES VERRES EN VITROCÉRAME ET EN CRISTAL AU PLOMB AINSI QUE DES VERRES À PIED)")</f>
        <v xml:space="preserve">   VERRES À BOIRE (À L'EXCL. DES VERRES EN VITROCÉRAME ET EN CRISTAL AU PLOMB AINSI QUE DES VERRES À PIED)</v>
      </c>
      <c r="C7901">
        <v>3241098</v>
      </c>
      <c r="D7901">
        <v>2500</v>
      </c>
    </row>
    <row r="7902" spans="1:4" x14ac:dyDescent="0.25">
      <c r="A7902" t="str">
        <f>T("   730820")</f>
        <v xml:space="preserve">   730820</v>
      </c>
      <c r="B7902" t="str">
        <f>T("   Tours et pylônes, en fer ou en acier")</f>
        <v xml:space="preserve">   Tours et pylônes, en fer ou en acier</v>
      </c>
      <c r="C7902">
        <v>42829596</v>
      </c>
      <c r="D7902">
        <v>37805</v>
      </c>
    </row>
    <row r="7903" spans="1:4" x14ac:dyDescent="0.25">
      <c r="A7903" t="str">
        <f>T("   841990")</f>
        <v xml:space="preserve">   841990</v>
      </c>
      <c r="B7903"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7903">
        <v>8000833</v>
      </c>
      <c r="D7903">
        <v>3000</v>
      </c>
    </row>
    <row r="7904" spans="1:4" x14ac:dyDescent="0.25">
      <c r="A7904" t="str">
        <f>T("   940130")</f>
        <v xml:space="preserve">   940130</v>
      </c>
      <c r="B7904"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7904">
        <v>23597474</v>
      </c>
      <c r="D7904">
        <v>20957</v>
      </c>
    </row>
    <row r="7905" spans="1:4" x14ac:dyDescent="0.25">
      <c r="A7905" t="str">
        <f>T("   940161")</f>
        <v xml:space="preserve">   940161</v>
      </c>
      <c r="B7905" t="str">
        <f>T("   Sièges, avec bâti en bois, rembourrés (non transformables en lits)")</f>
        <v xml:space="preserve">   Sièges, avec bâti en bois, rembourrés (non transformables en lits)</v>
      </c>
      <c r="C7905">
        <v>15912001</v>
      </c>
      <c r="D7905">
        <v>5793</v>
      </c>
    </row>
    <row r="7906" spans="1:4" x14ac:dyDescent="0.25">
      <c r="A7906" t="str">
        <f>T("   940310")</f>
        <v xml:space="preserve">   940310</v>
      </c>
      <c r="B7906" t="str">
        <f>T("   Meubles de bureau en métal (sauf sièges)")</f>
        <v xml:space="preserve">   Meubles de bureau en métal (sauf sièges)</v>
      </c>
      <c r="C7906">
        <v>35170079</v>
      </c>
      <c r="D7906">
        <v>55452</v>
      </c>
    </row>
    <row r="7907" spans="1:4" x14ac:dyDescent="0.25">
      <c r="A7907" t="str">
        <f>T("   940330")</f>
        <v xml:space="preserve">   940330</v>
      </c>
      <c r="B7907" t="str">
        <f>T("   Meubles de bureau en bois (sauf sièges)")</f>
        <v xml:space="preserve">   Meubles de bureau en bois (sauf sièges)</v>
      </c>
      <c r="C7907">
        <v>74633544</v>
      </c>
      <c r="D7907">
        <v>165444</v>
      </c>
    </row>
    <row r="7908" spans="1:4" x14ac:dyDescent="0.25">
      <c r="A7908" t="str">
        <f>T("   940360")</f>
        <v xml:space="preserve">   940360</v>
      </c>
      <c r="B7908" t="str">
        <f>T("   Meubles en bois (autres que pour bureaux, cuisines ou chambres à coucher et autres que sièges)")</f>
        <v xml:space="preserve">   Meubles en bois (autres que pour bureaux, cuisines ou chambres à coucher et autres que sièges)</v>
      </c>
      <c r="C7908">
        <v>7646484</v>
      </c>
      <c r="D7908">
        <v>12016</v>
      </c>
    </row>
    <row r="7909" spans="1:4" x14ac:dyDescent="0.25">
      <c r="A7909" t="str">
        <f>T("   940390")</f>
        <v xml:space="preserve">   940390</v>
      </c>
      <c r="B7909"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7909">
        <v>818123</v>
      </c>
      <c r="D7909">
        <v>5296</v>
      </c>
    </row>
    <row r="7910" spans="1:4" x14ac:dyDescent="0.25">
      <c r="A7910" t="str">
        <f>T("   960820")</f>
        <v xml:space="preserve">   960820</v>
      </c>
      <c r="B7910" t="str">
        <f>T("   Stylos et marqueurs à mèche feutre ou à autres pointes poreuses")</f>
        <v xml:space="preserve">   Stylos et marqueurs à mèche feutre ou à autres pointes poreuses</v>
      </c>
      <c r="C7910">
        <v>4559731</v>
      </c>
      <c r="D7910">
        <v>6500</v>
      </c>
    </row>
    <row r="7911" spans="1:4" x14ac:dyDescent="0.25">
      <c r="A7911" t="str">
        <f>T("MZ")</f>
        <v>MZ</v>
      </c>
      <c r="B7911" t="str">
        <f>T("Mozambique")</f>
        <v>Mozambique</v>
      </c>
    </row>
    <row r="7912" spans="1:4" x14ac:dyDescent="0.25">
      <c r="A7912" t="str">
        <f>T("   ZZ_Total_Produit_SH6")</f>
        <v xml:space="preserve">   ZZ_Total_Produit_SH6</v>
      </c>
      <c r="B7912" t="str">
        <f>T("   ZZ_Total_Produit_SH6")</f>
        <v xml:space="preserve">   ZZ_Total_Produit_SH6</v>
      </c>
      <c r="C7912">
        <v>611223245</v>
      </c>
      <c r="D7912">
        <v>1211509</v>
      </c>
    </row>
    <row r="7913" spans="1:4" x14ac:dyDescent="0.25">
      <c r="A7913" t="str">
        <f>T("   170199")</f>
        <v xml:space="preserve">   170199</v>
      </c>
      <c r="B7913"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7913">
        <v>549904836</v>
      </c>
      <c r="D7913">
        <v>1204040</v>
      </c>
    </row>
    <row r="7914" spans="1:4" x14ac:dyDescent="0.25">
      <c r="A7914" t="str">
        <f>T("   620590")</f>
        <v xml:space="preserve">   620590</v>
      </c>
      <c r="B791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914">
        <v>500000</v>
      </c>
      <c r="D7914">
        <v>400</v>
      </c>
    </row>
    <row r="7915" spans="1:4" x14ac:dyDescent="0.25">
      <c r="A7915" t="str">
        <f>T("   732399")</f>
        <v xml:space="preserve">   732399</v>
      </c>
      <c r="B7915" t="s">
        <v>390</v>
      </c>
      <c r="C7915">
        <v>1000000</v>
      </c>
      <c r="D7915">
        <v>1000</v>
      </c>
    </row>
    <row r="7916" spans="1:4" x14ac:dyDescent="0.25">
      <c r="A7916" t="str">
        <f>T("   843143")</f>
        <v xml:space="preserve">   843143</v>
      </c>
      <c r="B7916" t="str">
        <f>T("   Parties de machines de sondage ou de forage du n° 8430.41 ou 8430.49, n.d.a.")</f>
        <v xml:space="preserve">   Parties de machines de sondage ou de forage du n° 8430.41 ou 8430.49, n.d.a.</v>
      </c>
      <c r="C7916">
        <v>57318409</v>
      </c>
      <c r="D7916">
        <v>569</v>
      </c>
    </row>
    <row r="7917" spans="1:4" x14ac:dyDescent="0.25">
      <c r="A7917" t="str">
        <f>T("   940360")</f>
        <v xml:space="preserve">   940360</v>
      </c>
      <c r="B7917" t="str">
        <f>T("   Meubles en bois (autres que pour bureaux, cuisines ou chambres à coucher et autres que sièges)")</f>
        <v xml:space="preserve">   Meubles en bois (autres que pour bureaux, cuisines ou chambres à coucher et autres que sièges)</v>
      </c>
      <c r="C7917">
        <v>2500000</v>
      </c>
      <c r="D7917">
        <v>5500</v>
      </c>
    </row>
    <row r="7918" spans="1:4" x14ac:dyDescent="0.25">
      <c r="A7918" t="str">
        <f>T("NA")</f>
        <v>NA</v>
      </c>
      <c r="B7918" t="str">
        <f>T("Namibie")</f>
        <v>Namibie</v>
      </c>
    </row>
    <row r="7919" spans="1:4" x14ac:dyDescent="0.25">
      <c r="A7919" t="str">
        <f>T("   ZZ_Total_Produit_SH6")</f>
        <v xml:space="preserve">   ZZ_Total_Produit_SH6</v>
      </c>
      <c r="B7919" t="str">
        <f>T("   ZZ_Total_Produit_SH6")</f>
        <v xml:space="preserve">   ZZ_Total_Produit_SH6</v>
      </c>
      <c r="C7919">
        <v>3534141281</v>
      </c>
      <c r="D7919">
        <v>15635907</v>
      </c>
    </row>
    <row r="7920" spans="1:4" x14ac:dyDescent="0.25">
      <c r="A7920" t="str">
        <f>T("   030379")</f>
        <v xml:space="preserve">   030379</v>
      </c>
      <c r="B7920" t="s">
        <v>16</v>
      </c>
      <c r="C7920">
        <v>3517822391</v>
      </c>
      <c r="D7920">
        <v>15634624</v>
      </c>
    </row>
    <row r="7921" spans="1:4" x14ac:dyDescent="0.25">
      <c r="A7921" t="str">
        <f>T("   490199")</f>
        <v xml:space="preserve">   490199</v>
      </c>
      <c r="B792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921">
        <v>532856</v>
      </c>
      <c r="D7921">
        <v>361</v>
      </c>
    </row>
    <row r="7922" spans="1:4" x14ac:dyDescent="0.25">
      <c r="A7922" t="str">
        <f>T("   640419")</f>
        <v xml:space="preserve">   640419</v>
      </c>
      <c r="B7922" t="s">
        <v>310</v>
      </c>
      <c r="C7922">
        <v>11473161</v>
      </c>
      <c r="D7922">
        <v>355</v>
      </c>
    </row>
    <row r="7923" spans="1:4" x14ac:dyDescent="0.25">
      <c r="A7923" t="str">
        <f>T("   650610")</f>
        <v xml:space="preserve">   650610</v>
      </c>
      <c r="B7923" t="str">
        <f>T("   Coiffures de sécurité, même garnies")</f>
        <v xml:space="preserve">   Coiffures de sécurité, même garnies</v>
      </c>
      <c r="C7923">
        <v>740021</v>
      </c>
      <c r="D7923">
        <v>23</v>
      </c>
    </row>
    <row r="7924" spans="1:4" x14ac:dyDescent="0.25">
      <c r="A7924" t="str">
        <f>T("   701090")</f>
        <v xml:space="preserve">   701090</v>
      </c>
      <c r="B7924" t="s">
        <v>348</v>
      </c>
      <c r="C7924">
        <v>737825</v>
      </c>
      <c r="D7924">
        <v>8</v>
      </c>
    </row>
    <row r="7925" spans="1:4" x14ac:dyDescent="0.25">
      <c r="A7925" t="str">
        <f>T("   842310")</f>
        <v xml:space="preserve">   842310</v>
      </c>
      <c r="B7925" t="str">
        <f>T("   Pèse-personnes, y.c. les pèse-bébés; balances de ménage")</f>
        <v xml:space="preserve">   Pèse-personnes, y.c. les pèse-bébés; balances de ménage</v>
      </c>
      <c r="C7925">
        <v>543660</v>
      </c>
      <c r="D7925">
        <v>150</v>
      </c>
    </row>
    <row r="7926" spans="1:4" x14ac:dyDescent="0.25">
      <c r="A7926" t="str">
        <f>T("   900490")</f>
        <v xml:space="preserve">   900490</v>
      </c>
      <c r="B7926"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926">
        <v>466222</v>
      </c>
      <c r="D7926">
        <v>14</v>
      </c>
    </row>
    <row r="7927" spans="1:4" x14ac:dyDescent="0.25">
      <c r="A7927" t="str">
        <f>T("   940490")</f>
        <v xml:space="preserve">   940490</v>
      </c>
      <c r="B7927" t="s">
        <v>537</v>
      </c>
      <c r="C7927">
        <v>388329</v>
      </c>
      <c r="D7927">
        <v>122</v>
      </c>
    </row>
    <row r="7928" spans="1:4" x14ac:dyDescent="0.25">
      <c r="A7928" t="str">
        <f>T("   960500")</f>
        <v xml:space="preserve">   960500</v>
      </c>
      <c r="B7928"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7928">
        <v>1436816</v>
      </c>
      <c r="D7928">
        <v>250</v>
      </c>
    </row>
    <row r="7929" spans="1:4" x14ac:dyDescent="0.25">
      <c r="A7929" t="str">
        <f>T("NE")</f>
        <v>NE</v>
      </c>
      <c r="B7929" t="str">
        <f>T("Niger")</f>
        <v>Niger</v>
      </c>
    </row>
    <row r="7930" spans="1:4" x14ac:dyDescent="0.25">
      <c r="A7930" t="str">
        <f>T("   ZZ_Total_Produit_SH6")</f>
        <v xml:space="preserve">   ZZ_Total_Produit_SH6</v>
      </c>
      <c r="B7930" t="str">
        <f>T("   ZZ_Total_Produit_SH6")</f>
        <v xml:space="preserve">   ZZ_Total_Produit_SH6</v>
      </c>
      <c r="C7930">
        <v>101951942</v>
      </c>
      <c r="D7930">
        <v>203629.1</v>
      </c>
    </row>
    <row r="7931" spans="1:4" x14ac:dyDescent="0.25">
      <c r="A7931" t="str">
        <f>T("   010511")</f>
        <v xml:space="preserve">   010511</v>
      </c>
      <c r="B7931" t="str">
        <f>T("   Coqs et poules [des espèces domestiques], vivants, d'un poids &lt;= 185 g")</f>
        <v xml:space="preserve">   Coqs et poules [des espèces domestiques], vivants, d'un poids &lt;= 185 g</v>
      </c>
      <c r="C7931">
        <v>972526</v>
      </c>
      <c r="D7931">
        <v>684</v>
      </c>
    </row>
    <row r="7932" spans="1:4" x14ac:dyDescent="0.25">
      <c r="A7932" t="str">
        <f>T("   121299")</f>
        <v xml:space="preserve">   121299</v>
      </c>
      <c r="B7932"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7932">
        <v>12000000</v>
      </c>
      <c r="D7932">
        <v>80000</v>
      </c>
    </row>
    <row r="7933" spans="1:4" x14ac:dyDescent="0.25">
      <c r="A7933" t="str">
        <f>T("   200290")</f>
        <v xml:space="preserve">   200290</v>
      </c>
      <c r="B7933"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933">
        <v>15127334</v>
      </c>
      <c r="D7933">
        <v>44333.599999999999</v>
      </c>
    </row>
    <row r="7934" spans="1:4" x14ac:dyDescent="0.25">
      <c r="A7934" t="str">
        <f>T("   490199")</f>
        <v xml:space="preserve">   490199</v>
      </c>
      <c r="B793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934">
        <v>4698261</v>
      </c>
      <c r="D7934">
        <v>264</v>
      </c>
    </row>
    <row r="7935" spans="1:4" x14ac:dyDescent="0.25">
      <c r="A7935" t="str">
        <f>T("   840510")</f>
        <v xml:space="preserve">   840510</v>
      </c>
      <c r="B7935" t="s">
        <v>411</v>
      </c>
      <c r="C7935">
        <v>63683720</v>
      </c>
      <c r="D7935">
        <v>11000</v>
      </c>
    </row>
    <row r="7936" spans="1:4" x14ac:dyDescent="0.25">
      <c r="A7936" t="str">
        <f>T("   843680")</f>
        <v xml:space="preserve">   843680</v>
      </c>
      <c r="B7936" t="str">
        <f>T("   Machines et appareils pour l'agriculture, la sylviculture, l'horticulture ou l'apiculture, n.d.a.")</f>
        <v xml:space="preserve">   Machines et appareils pour l'agriculture, la sylviculture, l'horticulture ou l'apiculture, n.d.a.</v>
      </c>
      <c r="C7936">
        <v>2099072</v>
      </c>
      <c r="D7936">
        <v>244</v>
      </c>
    </row>
    <row r="7937" spans="1:4" x14ac:dyDescent="0.25">
      <c r="A7937" t="str">
        <f>T("   847190")</f>
        <v xml:space="preserve">   847190</v>
      </c>
      <c r="B793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937">
        <v>545990</v>
      </c>
      <c r="D7937">
        <v>3.5</v>
      </c>
    </row>
    <row r="7938" spans="1:4" x14ac:dyDescent="0.25">
      <c r="A7938" t="str">
        <f>T("   870323")</f>
        <v xml:space="preserve">   870323</v>
      </c>
      <c r="B7938" t="s">
        <v>507</v>
      </c>
      <c r="C7938">
        <v>1625039</v>
      </c>
      <c r="D7938">
        <v>2100</v>
      </c>
    </row>
    <row r="7939" spans="1:4" x14ac:dyDescent="0.25">
      <c r="A7939" t="str">
        <f>T("   871631")</f>
        <v xml:space="preserve">   871631</v>
      </c>
      <c r="B7939" t="str">
        <f>T("   Remorques-citernes ne circulant pas sur rails")</f>
        <v xml:space="preserve">   Remorques-citernes ne circulant pas sur rails</v>
      </c>
      <c r="C7939">
        <v>1200000</v>
      </c>
      <c r="D7939">
        <v>65000</v>
      </c>
    </row>
    <row r="7940" spans="1:4" x14ac:dyDescent="0.25">
      <c r="A7940" t="str">
        <f>T("NF")</f>
        <v>NF</v>
      </c>
      <c r="B7940" t="str">
        <f>T("Norfolk, île")</f>
        <v>Norfolk, île</v>
      </c>
    </row>
    <row r="7941" spans="1:4" x14ac:dyDescent="0.25">
      <c r="A7941" t="str">
        <f>T("   ZZ_Total_Produit_SH6")</f>
        <v xml:space="preserve">   ZZ_Total_Produit_SH6</v>
      </c>
      <c r="B7941" t="str">
        <f>T("   ZZ_Total_Produit_SH6")</f>
        <v xml:space="preserve">   ZZ_Total_Produit_SH6</v>
      </c>
      <c r="C7941">
        <v>35266057</v>
      </c>
      <c r="D7941">
        <v>55970</v>
      </c>
    </row>
    <row r="7942" spans="1:4" x14ac:dyDescent="0.25">
      <c r="A7942" t="str">
        <f>T("   020714")</f>
        <v xml:space="preserve">   020714</v>
      </c>
      <c r="B7942" t="str">
        <f>T("   Morceaux et abats comestibles de coqs et de poules [des espèces domestiques], congelés")</f>
        <v xml:space="preserve">   Morceaux et abats comestibles de coqs et de poules [des espèces domestiques], congelés</v>
      </c>
      <c r="C7942">
        <v>31100008</v>
      </c>
      <c r="D7942">
        <v>50000</v>
      </c>
    </row>
    <row r="7943" spans="1:4" x14ac:dyDescent="0.25">
      <c r="A7943" t="str">
        <f>T("   841829")</f>
        <v xml:space="preserve">   841829</v>
      </c>
      <c r="B7943" t="str">
        <f>T("   Réfrigérateurs ménagers à absorption, non-électriques")</f>
        <v xml:space="preserve">   Réfrigérateurs ménagers à absorption, non-électriques</v>
      </c>
      <c r="C7943">
        <v>300000</v>
      </c>
      <c r="D7943">
        <v>920</v>
      </c>
    </row>
    <row r="7944" spans="1:4" x14ac:dyDescent="0.25">
      <c r="A7944" t="str">
        <f>T("   870323")</f>
        <v xml:space="preserve">   870323</v>
      </c>
      <c r="B7944" t="s">
        <v>507</v>
      </c>
      <c r="C7944">
        <v>3866049</v>
      </c>
      <c r="D7944">
        <v>5050</v>
      </c>
    </row>
    <row r="7945" spans="1:4" x14ac:dyDescent="0.25">
      <c r="A7945" t="str">
        <f>T("NG")</f>
        <v>NG</v>
      </c>
      <c r="B7945" t="str">
        <f>T("Nigéria")</f>
        <v>Nigéria</v>
      </c>
    </row>
    <row r="7946" spans="1:4" x14ac:dyDescent="0.25">
      <c r="A7946" t="str">
        <f>T("   ZZ_Total_Produit_SH6")</f>
        <v xml:space="preserve">   ZZ_Total_Produit_SH6</v>
      </c>
      <c r="B7946" t="str">
        <f>T("   ZZ_Total_Produit_SH6")</f>
        <v xml:space="preserve">   ZZ_Total_Produit_SH6</v>
      </c>
      <c r="C7946">
        <v>26002913442.473</v>
      </c>
      <c r="D7946">
        <v>64191594</v>
      </c>
    </row>
    <row r="7947" spans="1:4" x14ac:dyDescent="0.25">
      <c r="A7947" t="str">
        <f>T("   030379")</f>
        <v xml:space="preserve">   030379</v>
      </c>
      <c r="B7947" t="s">
        <v>16</v>
      </c>
      <c r="C7947">
        <v>125000</v>
      </c>
      <c r="D7947">
        <v>500</v>
      </c>
    </row>
    <row r="7948" spans="1:4" x14ac:dyDescent="0.25">
      <c r="A7948" t="str">
        <f>T("   040210")</f>
        <v xml:space="preserve">   040210</v>
      </c>
      <c r="B794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948">
        <v>22951000</v>
      </c>
      <c r="D7948">
        <v>21642</v>
      </c>
    </row>
    <row r="7949" spans="1:4" x14ac:dyDescent="0.25">
      <c r="A7949" t="str">
        <f>T("   040229")</f>
        <v xml:space="preserve">   040229</v>
      </c>
      <c r="B7949"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949">
        <v>498000</v>
      </c>
      <c r="D7949">
        <v>415</v>
      </c>
    </row>
    <row r="7950" spans="1:4" x14ac:dyDescent="0.25">
      <c r="A7950" t="str">
        <f>T("   070310")</f>
        <v xml:space="preserve">   070310</v>
      </c>
      <c r="B7950" t="str">
        <f>T("   Oignons et échalotes, à l'état frais ou réfrigéré")</f>
        <v xml:space="preserve">   Oignons et échalotes, à l'état frais ou réfrigéré</v>
      </c>
      <c r="C7950">
        <v>474000</v>
      </c>
      <c r="D7950">
        <v>3100</v>
      </c>
    </row>
    <row r="7951" spans="1:4" x14ac:dyDescent="0.25">
      <c r="A7951" t="str">
        <f>T("   071339")</f>
        <v xml:space="preserve">   071339</v>
      </c>
      <c r="B7951"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951">
        <v>3332500</v>
      </c>
      <c r="D7951">
        <v>44000</v>
      </c>
    </row>
    <row r="7952" spans="1:4" x14ac:dyDescent="0.25">
      <c r="A7952" t="str">
        <f>T("   090240")</f>
        <v xml:space="preserve">   090240</v>
      </c>
      <c r="B7952" t="s">
        <v>28</v>
      </c>
      <c r="C7952">
        <v>130100</v>
      </c>
      <c r="D7952">
        <v>116</v>
      </c>
    </row>
    <row r="7953" spans="1:4" x14ac:dyDescent="0.25">
      <c r="A7953" t="str">
        <f>T("   091010")</f>
        <v xml:space="preserve">   091010</v>
      </c>
      <c r="B7953" t="str">
        <f>T("   Gingembre")</f>
        <v xml:space="preserve">   Gingembre</v>
      </c>
      <c r="C7953">
        <v>14233500</v>
      </c>
      <c r="D7953">
        <v>158150</v>
      </c>
    </row>
    <row r="7954" spans="1:4" x14ac:dyDescent="0.25">
      <c r="A7954" t="str">
        <f>T("   110100")</f>
        <v xml:space="preserve">   110100</v>
      </c>
      <c r="B7954" t="str">
        <f>T("   Farines de froment [blé] ou de méteil")</f>
        <v xml:space="preserve">   Farines de froment [blé] ou de méteil</v>
      </c>
      <c r="C7954">
        <v>22865106.473000001</v>
      </c>
      <c r="D7954">
        <v>85603</v>
      </c>
    </row>
    <row r="7955" spans="1:4" x14ac:dyDescent="0.25">
      <c r="A7955" t="str">
        <f>T("   110220")</f>
        <v xml:space="preserve">   110220</v>
      </c>
      <c r="B7955" t="str">
        <f>T("   Farine de maïs")</f>
        <v xml:space="preserve">   Farine de maïs</v>
      </c>
      <c r="C7955">
        <v>99700</v>
      </c>
      <c r="D7955">
        <v>200</v>
      </c>
    </row>
    <row r="7956" spans="1:4" x14ac:dyDescent="0.25">
      <c r="A7956" t="str">
        <f>T("   110313")</f>
        <v xml:space="preserve">   110313</v>
      </c>
      <c r="B7956" t="str">
        <f>T("   Gruaux et semoules de maïs")</f>
        <v xml:space="preserve">   Gruaux et semoules de maïs</v>
      </c>
      <c r="C7956">
        <v>416500</v>
      </c>
      <c r="D7956">
        <v>833</v>
      </c>
    </row>
    <row r="7957" spans="1:4" x14ac:dyDescent="0.25">
      <c r="A7957" t="str">
        <f>T("   120740")</f>
        <v xml:space="preserve">   120740</v>
      </c>
      <c r="B7957" t="str">
        <f>T("   Graines de sésame, même concassées")</f>
        <v xml:space="preserve">   Graines de sésame, même concassées</v>
      </c>
      <c r="C7957">
        <v>135000</v>
      </c>
      <c r="D7957">
        <v>1800</v>
      </c>
    </row>
    <row r="7958" spans="1:4" x14ac:dyDescent="0.25">
      <c r="A7958" t="str">
        <f>T("   121110")</f>
        <v xml:space="preserve">   121110</v>
      </c>
      <c r="B7958" t="str">
        <f>T("   Racines de réglisse, fraîches ou séchées, même coupées, concassées ou pulvérisées")</f>
        <v xml:space="preserve">   Racines de réglisse, fraîches ou séchées, même coupées, concassées ou pulvérisées</v>
      </c>
      <c r="C7958">
        <v>25000</v>
      </c>
      <c r="D7958">
        <v>500</v>
      </c>
    </row>
    <row r="7959" spans="1:4" x14ac:dyDescent="0.25">
      <c r="A7959" t="str">
        <f>T("   121190")</f>
        <v xml:space="preserve">   121190</v>
      </c>
      <c r="B7959" t="s">
        <v>33</v>
      </c>
      <c r="C7959">
        <v>7599500</v>
      </c>
      <c r="D7959">
        <v>146700</v>
      </c>
    </row>
    <row r="7960" spans="1:4" x14ac:dyDescent="0.25">
      <c r="A7960" t="str">
        <f>T("   151190")</f>
        <v xml:space="preserve">   151190</v>
      </c>
      <c r="B7960" t="str">
        <f>T("   Huile de palme et ses fractions, même raffinées, mais non chimiquement modifiées (à l'excl. de l'huile de palme brute)")</f>
        <v xml:space="preserve">   Huile de palme et ses fractions, même raffinées, mais non chimiquement modifiées (à l'excl. de l'huile de palme brute)</v>
      </c>
      <c r="C7960">
        <v>50000</v>
      </c>
      <c r="D7960">
        <v>200</v>
      </c>
    </row>
    <row r="7961" spans="1:4" x14ac:dyDescent="0.25">
      <c r="A7961" t="str">
        <f>T("   151490")</f>
        <v xml:space="preserve">   151490</v>
      </c>
      <c r="B7961" t="str">
        <f>T("   HUILES DE NAVETTE, DE COLZA OU DE MOUTARDE ET LEURS FRACTIONS, MÊME RAFFINÉES, MAIS NON CHIMIQUEMENT MODIFIEES (À L'EXCL. DES HUILES BRUTES)")</f>
        <v xml:space="preserve">   HUILES DE NAVETTE, DE COLZA OU DE MOUTARDE ET LEURS FRACTIONS, MÊME RAFFINÉES, MAIS NON CHIMIQUEMENT MODIFIEES (À L'EXCL. DES HUILES BRUTES)</v>
      </c>
      <c r="C7961">
        <v>275700</v>
      </c>
      <c r="D7961">
        <v>650</v>
      </c>
    </row>
    <row r="7962" spans="1:4" x14ac:dyDescent="0.25">
      <c r="A7962" t="str">
        <f>T("   160250")</f>
        <v xml:space="preserve">   160250</v>
      </c>
      <c r="B7962" t="s">
        <v>43</v>
      </c>
      <c r="C7962">
        <v>201000</v>
      </c>
      <c r="D7962">
        <v>200</v>
      </c>
    </row>
    <row r="7963" spans="1:4" x14ac:dyDescent="0.25">
      <c r="A7963" t="str">
        <f>T("   160413")</f>
        <v xml:space="preserve">   160413</v>
      </c>
      <c r="B796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963">
        <v>1249300</v>
      </c>
      <c r="D7963">
        <v>2790</v>
      </c>
    </row>
    <row r="7964" spans="1:4" x14ac:dyDescent="0.25">
      <c r="A7964" t="str">
        <f>T("   160414")</f>
        <v xml:space="preserve">   160414</v>
      </c>
      <c r="B7964"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964">
        <v>77500</v>
      </c>
      <c r="D7964">
        <v>50</v>
      </c>
    </row>
    <row r="7965" spans="1:4" x14ac:dyDescent="0.25">
      <c r="A7965" t="str">
        <f>T("   160419")</f>
        <v xml:space="preserve">   160419</v>
      </c>
      <c r="B7965" t="s">
        <v>45</v>
      </c>
      <c r="C7965">
        <v>108500</v>
      </c>
      <c r="D7965">
        <v>100</v>
      </c>
    </row>
    <row r="7966" spans="1:4" x14ac:dyDescent="0.25">
      <c r="A7966" t="str">
        <f>T("   170490")</f>
        <v xml:space="preserve">   170490</v>
      </c>
      <c r="B7966" t="str">
        <f>T("   Sucreries sans cacao, y.c. le chocolat blanc (à l'excl. des gommes à mâcher)")</f>
        <v xml:space="preserve">   Sucreries sans cacao, y.c. le chocolat blanc (à l'excl. des gommes à mâcher)</v>
      </c>
      <c r="C7966">
        <v>1569618</v>
      </c>
      <c r="D7966">
        <v>4409</v>
      </c>
    </row>
    <row r="7967" spans="1:4" x14ac:dyDescent="0.25">
      <c r="A7967" t="str">
        <f>T("   180632")</f>
        <v xml:space="preserve">   180632</v>
      </c>
      <c r="B7967"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7967">
        <v>49875</v>
      </c>
      <c r="D7967">
        <v>21</v>
      </c>
    </row>
    <row r="7968" spans="1:4" x14ac:dyDescent="0.25">
      <c r="A7968" t="str">
        <f>T("   190110")</f>
        <v xml:space="preserve">   190110</v>
      </c>
      <c r="B7968" t="s">
        <v>48</v>
      </c>
      <c r="C7968">
        <v>48320700</v>
      </c>
      <c r="D7968">
        <v>120001</v>
      </c>
    </row>
    <row r="7969" spans="1:4" x14ac:dyDescent="0.25">
      <c r="A7969" t="str">
        <f>T("   190230")</f>
        <v xml:space="preserve">   190230</v>
      </c>
      <c r="B7969" t="str">
        <f>T("   Pâtes alimentaires, cuites ou autrement préparées (à l'excl. des pâtes alimentaires farcies)")</f>
        <v xml:space="preserve">   Pâtes alimentaires, cuites ou autrement préparées (à l'excl. des pâtes alimentaires farcies)</v>
      </c>
      <c r="C7969">
        <v>4183056</v>
      </c>
      <c r="D7969">
        <v>12300</v>
      </c>
    </row>
    <row r="7970" spans="1:4" x14ac:dyDescent="0.25">
      <c r="A7970" t="str">
        <f>T("   190590")</f>
        <v xml:space="preserve">   190590</v>
      </c>
      <c r="B7970" t="s">
        <v>52</v>
      </c>
      <c r="C7970">
        <v>217782928</v>
      </c>
      <c r="D7970">
        <v>1080948</v>
      </c>
    </row>
    <row r="7971" spans="1:4" x14ac:dyDescent="0.25">
      <c r="A7971" t="str">
        <f>T("   200290")</f>
        <v xml:space="preserve">   200290</v>
      </c>
      <c r="B797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971">
        <v>161104026</v>
      </c>
      <c r="D7971">
        <v>484110</v>
      </c>
    </row>
    <row r="7972" spans="1:4" x14ac:dyDescent="0.25">
      <c r="A7972" t="str">
        <f>T("   200990")</f>
        <v xml:space="preserve">   200990</v>
      </c>
      <c r="B797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972">
        <v>8544443</v>
      </c>
      <c r="D7972">
        <v>44480</v>
      </c>
    </row>
    <row r="7973" spans="1:4" x14ac:dyDescent="0.25">
      <c r="A7973" t="str">
        <f>T("   210210")</f>
        <v xml:space="preserve">   210210</v>
      </c>
      <c r="B7973" t="str">
        <f>T("   Levures vivantes")</f>
        <v xml:space="preserve">   Levures vivantes</v>
      </c>
      <c r="C7973">
        <v>17000</v>
      </c>
      <c r="D7973">
        <v>25</v>
      </c>
    </row>
    <row r="7974" spans="1:4" x14ac:dyDescent="0.25">
      <c r="A7974" t="str">
        <f>T("   210390")</f>
        <v xml:space="preserve">   210390</v>
      </c>
      <c r="B797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974">
        <v>854170</v>
      </c>
      <c r="D7974">
        <v>2228</v>
      </c>
    </row>
    <row r="7975" spans="1:4" x14ac:dyDescent="0.25">
      <c r="A7975" t="str">
        <f>T("   210410")</f>
        <v xml:space="preserve">   210410</v>
      </c>
      <c r="B7975" t="str">
        <f>T("   Préparations pour soupes, potages ou bouillons; soupes, potages ou bouillons préparés")</f>
        <v xml:space="preserve">   Préparations pour soupes, potages ou bouillons; soupes, potages ou bouillons préparés</v>
      </c>
      <c r="C7975">
        <v>2400870</v>
      </c>
      <c r="D7975">
        <v>2700</v>
      </c>
    </row>
    <row r="7976" spans="1:4" x14ac:dyDescent="0.25">
      <c r="A7976" t="str">
        <f>T("   210690")</f>
        <v xml:space="preserve">   210690</v>
      </c>
      <c r="B7976" t="str">
        <f>T("   Préparations alimentaires, n.d.a.")</f>
        <v xml:space="preserve">   Préparations alimentaires, n.d.a.</v>
      </c>
      <c r="C7976">
        <v>1429600</v>
      </c>
      <c r="D7976">
        <v>3574</v>
      </c>
    </row>
    <row r="7977" spans="1:4" x14ac:dyDescent="0.25">
      <c r="A7977" t="str">
        <f>T("   220210")</f>
        <v xml:space="preserve">   220210</v>
      </c>
      <c r="B797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977">
        <v>57752906</v>
      </c>
      <c r="D7977">
        <v>865920</v>
      </c>
    </row>
    <row r="7978" spans="1:4" x14ac:dyDescent="0.25">
      <c r="A7978" t="str">
        <f>T("   220290")</f>
        <v xml:space="preserve">   220290</v>
      </c>
      <c r="B7978" t="str">
        <f>T("   BOISSONS NON-ALCOOLIQUES (À L'EXCL. DES EAUX, DES JUS DE FRUITS OU DE LÉGUMES AINSI QUE DU LAIT)")</f>
        <v xml:space="preserve">   BOISSONS NON-ALCOOLIQUES (À L'EXCL. DES EAUX, DES JUS DE FRUITS OU DE LÉGUMES AINSI QUE DU LAIT)</v>
      </c>
      <c r="C7978">
        <v>69027259</v>
      </c>
      <c r="D7978">
        <v>809640</v>
      </c>
    </row>
    <row r="7979" spans="1:4" x14ac:dyDescent="0.25">
      <c r="A7979" t="str">
        <f>T("   220300")</f>
        <v xml:space="preserve">   220300</v>
      </c>
      <c r="B7979" t="str">
        <f>T("   Bières de malt")</f>
        <v xml:space="preserve">   Bières de malt</v>
      </c>
      <c r="C7979">
        <v>445881493</v>
      </c>
      <c r="D7979">
        <v>2033928</v>
      </c>
    </row>
    <row r="7980" spans="1:4" x14ac:dyDescent="0.25">
      <c r="A7980" t="str">
        <f>T("   220590")</f>
        <v xml:space="preserve">   220590</v>
      </c>
      <c r="B7980"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7980">
        <v>250000</v>
      </c>
      <c r="D7980">
        <v>500</v>
      </c>
    </row>
    <row r="7981" spans="1:4" x14ac:dyDescent="0.25">
      <c r="A7981" t="str">
        <f>T("   220890")</f>
        <v xml:space="preserve">   220890</v>
      </c>
      <c r="B7981" t="s">
        <v>61</v>
      </c>
      <c r="C7981">
        <v>2564050</v>
      </c>
      <c r="D7981">
        <v>3624</v>
      </c>
    </row>
    <row r="7982" spans="1:4" x14ac:dyDescent="0.25">
      <c r="A7982" t="str">
        <f>T("   230230")</f>
        <v xml:space="preserve">   230230</v>
      </c>
      <c r="B7982"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982">
        <v>1716500</v>
      </c>
      <c r="D7982">
        <v>10510</v>
      </c>
    </row>
    <row r="7983" spans="1:4" x14ac:dyDescent="0.25">
      <c r="A7983" t="str">
        <f>T("   240110")</f>
        <v xml:space="preserve">   240110</v>
      </c>
      <c r="B7983" t="str">
        <f>T("   TABACS NON-ÉCOTÉS")</f>
        <v xml:space="preserve">   TABACS NON-ÉCOTÉS</v>
      </c>
      <c r="C7983">
        <v>100000</v>
      </c>
      <c r="D7983">
        <v>150</v>
      </c>
    </row>
    <row r="7984" spans="1:4" x14ac:dyDescent="0.25">
      <c r="A7984" t="str">
        <f>T("   240130")</f>
        <v xml:space="preserve">   240130</v>
      </c>
      <c r="B7984" t="str">
        <f>T("   Déchets de tabac")</f>
        <v xml:space="preserve">   Déchets de tabac</v>
      </c>
      <c r="C7984">
        <v>348540</v>
      </c>
      <c r="D7984">
        <v>222</v>
      </c>
    </row>
    <row r="7985" spans="1:4" x14ac:dyDescent="0.25">
      <c r="A7985" t="str">
        <f>T("   240220")</f>
        <v xml:space="preserve">   240220</v>
      </c>
      <c r="B7985" t="str">
        <f>T("   Cigarettes contenant du tabac")</f>
        <v xml:space="preserve">   Cigarettes contenant du tabac</v>
      </c>
      <c r="C7985">
        <v>1016517153</v>
      </c>
      <c r="D7985">
        <v>575414</v>
      </c>
    </row>
    <row r="7986" spans="1:4" x14ac:dyDescent="0.25">
      <c r="A7986" t="str">
        <f>T("   250100")</f>
        <v xml:space="preserve">   250100</v>
      </c>
      <c r="B7986" t="s">
        <v>63</v>
      </c>
      <c r="C7986">
        <v>362500</v>
      </c>
      <c r="D7986">
        <v>13000</v>
      </c>
    </row>
    <row r="7987" spans="1:4" x14ac:dyDescent="0.25">
      <c r="A7987" t="str">
        <f>T("   250590")</f>
        <v xml:space="preserve">   250590</v>
      </c>
      <c r="B7987"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7987">
        <v>200000</v>
      </c>
      <c r="D7987">
        <v>8000</v>
      </c>
    </row>
    <row r="7988" spans="1:4" x14ac:dyDescent="0.25">
      <c r="A7988" t="str">
        <f>T("   250700")</f>
        <v xml:space="preserve">   250700</v>
      </c>
      <c r="B7988" t="str">
        <f>T("   Kaolin et autres argiles kaoliniques, même calcinés")</f>
        <v xml:space="preserve">   Kaolin et autres argiles kaoliniques, même calcinés</v>
      </c>
      <c r="C7988">
        <v>7375543</v>
      </c>
      <c r="D7988">
        <v>73032</v>
      </c>
    </row>
    <row r="7989" spans="1:4" x14ac:dyDescent="0.25">
      <c r="A7989" t="str">
        <f>T("   252230")</f>
        <v xml:space="preserve">   252230</v>
      </c>
      <c r="B7989" t="str">
        <f>T("   Chaux hydraulique (à l'excl. de l'oxyde et de l'hydroxyde de calcium)")</f>
        <v xml:space="preserve">   Chaux hydraulique (à l'excl. de l'oxyde et de l'hydroxyde de calcium)</v>
      </c>
      <c r="C7989">
        <v>39750</v>
      </c>
      <c r="D7989">
        <v>150</v>
      </c>
    </row>
    <row r="7990" spans="1:4" x14ac:dyDescent="0.25">
      <c r="A7990" t="str">
        <f>T("   252321")</f>
        <v xml:space="preserve">   252321</v>
      </c>
      <c r="B7990" t="str">
        <f>T("   Ciments Portland blancs, même colorés artificiellement")</f>
        <v xml:space="preserve">   Ciments Portland blancs, même colorés artificiellement</v>
      </c>
      <c r="C7990">
        <v>1757850</v>
      </c>
      <c r="D7990">
        <v>12445</v>
      </c>
    </row>
    <row r="7991" spans="1:4" x14ac:dyDescent="0.25">
      <c r="A7991" t="str">
        <f>T("   271000")</f>
        <v xml:space="preserve">   271000</v>
      </c>
      <c r="B7991"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7991">
        <v>480085</v>
      </c>
      <c r="D7991">
        <v>561</v>
      </c>
    </row>
    <row r="7992" spans="1:4" x14ac:dyDescent="0.25">
      <c r="A7992" t="str">
        <f>T("   271011")</f>
        <v xml:space="preserve">   271011</v>
      </c>
      <c r="B799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7992">
        <v>5812225973</v>
      </c>
      <c r="D7992">
        <v>19212714</v>
      </c>
    </row>
    <row r="7993" spans="1:4" x14ac:dyDescent="0.25">
      <c r="A7993" t="str">
        <f>T("   271019")</f>
        <v xml:space="preserve">   271019</v>
      </c>
      <c r="B7993" t="str">
        <f>T("   Huiles moyennes et préparations, de pétrole ou de minéraux bitumineux, n.d.a.")</f>
        <v xml:space="preserve">   Huiles moyennes et préparations, de pétrole ou de minéraux bitumineux, n.d.a.</v>
      </c>
      <c r="C7993">
        <v>8101385989</v>
      </c>
      <c r="D7993">
        <v>24380085</v>
      </c>
    </row>
    <row r="7994" spans="1:4" x14ac:dyDescent="0.25">
      <c r="A7994" t="str">
        <f>T("   271113")</f>
        <v xml:space="preserve">   271113</v>
      </c>
      <c r="B7994" t="str">
        <f>T("   Butanes, liquéfiés (à l'excl. des butanes d'une pureté &gt;= 95% en n-butane ou en isobutane)")</f>
        <v xml:space="preserve">   Butanes, liquéfiés (à l'excl. des butanes d'une pureté &gt;= 95% en n-butane ou en isobutane)</v>
      </c>
      <c r="C7994">
        <v>700401514</v>
      </c>
      <c r="D7994">
        <v>2118909</v>
      </c>
    </row>
    <row r="7995" spans="1:4" x14ac:dyDescent="0.25">
      <c r="A7995" t="str">
        <f>T("   271210")</f>
        <v xml:space="preserve">   271210</v>
      </c>
      <c r="B7995" t="str">
        <f>T("   Vaseline")</f>
        <v xml:space="preserve">   Vaseline</v>
      </c>
      <c r="C7995">
        <v>70000</v>
      </c>
      <c r="D7995">
        <v>100</v>
      </c>
    </row>
    <row r="7996" spans="1:4" x14ac:dyDescent="0.25">
      <c r="A7996" t="str">
        <f>T("   280110")</f>
        <v xml:space="preserve">   280110</v>
      </c>
      <c r="B7996" t="str">
        <f>T("   Chlore")</f>
        <v xml:space="preserve">   Chlore</v>
      </c>
      <c r="C7996">
        <v>923600</v>
      </c>
      <c r="D7996">
        <v>9397</v>
      </c>
    </row>
    <row r="7997" spans="1:4" x14ac:dyDescent="0.25">
      <c r="A7997" t="str">
        <f>T("   280429")</f>
        <v xml:space="preserve">   280429</v>
      </c>
      <c r="B7997" t="str">
        <f>T("   Gaz rares (à l'excl. de l'argon)")</f>
        <v xml:space="preserve">   Gaz rares (à l'excl. de l'argon)</v>
      </c>
      <c r="C7997">
        <v>26040455</v>
      </c>
      <c r="D7997">
        <v>139590</v>
      </c>
    </row>
    <row r="7998" spans="1:4" x14ac:dyDescent="0.25">
      <c r="A7998" t="str">
        <f>T("   280440")</f>
        <v xml:space="preserve">   280440</v>
      </c>
      <c r="B7998" t="str">
        <f>T("   Oxygène")</f>
        <v xml:space="preserve">   Oxygène</v>
      </c>
      <c r="C7998">
        <v>4070500</v>
      </c>
      <c r="D7998">
        <v>14420</v>
      </c>
    </row>
    <row r="7999" spans="1:4" x14ac:dyDescent="0.25">
      <c r="A7999" t="str">
        <f>T("   280610")</f>
        <v xml:space="preserve">   280610</v>
      </c>
      <c r="B7999" t="str">
        <f>T("   Chlorure d'hydrogène [acide chlorhydrique]")</f>
        <v xml:space="preserve">   Chlorure d'hydrogène [acide chlorhydrique]</v>
      </c>
      <c r="C7999">
        <v>870000</v>
      </c>
      <c r="D7999">
        <v>1430</v>
      </c>
    </row>
    <row r="8000" spans="1:4" x14ac:dyDescent="0.25">
      <c r="A8000" t="str">
        <f>T("   280700")</f>
        <v xml:space="preserve">   280700</v>
      </c>
      <c r="B8000" t="str">
        <f>T("   Acide sulfurique; oléum")</f>
        <v xml:space="preserve">   Acide sulfurique; oléum</v>
      </c>
      <c r="C8000">
        <v>636000</v>
      </c>
      <c r="D8000">
        <v>2020</v>
      </c>
    </row>
    <row r="8001" spans="1:4" x14ac:dyDescent="0.25">
      <c r="A8001" t="str">
        <f>T("   281111")</f>
        <v xml:space="preserve">   281111</v>
      </c>
      <c r="B8001" t="str">
        <f>T("   Fluorure d'hydrogène [acide fluorhydrique]")</f>
        <v xml:space="preserve">   Fluorure d'hydrogène [acide fluorhydrique]</v>
      </c>
      <c r="C8001">
        <v>29250</v>
      </c>
      <c r="D8001">
        <v>50</v>
      </c>
    </row>
    <row r="8002" spans="1:4" x14ac:dyDescent="0.25">
      <c r="A8002" t="str">
        <f>T("   281119")</f>
        <v xml:space="preserve">   281119</v>
      </c>
      <c r="B8002" t="s">
        <v>65</v>
      </c>
      <c r="C8002">
        <v>112500</v>
      </c>
      <c r="D8002">
        <v>750</v>
      </c>
    </row>
    <row r="8003" spans="1:4" x14ac:dyDescent="0.25">
      <c r="A8003" t="str">
        <f>T("   281511")</f>
        <v xml:space="preserve">   281511</v>
      </c>
      <c r="B8003" t="str">
        <f>T("   Hydroxyde de sodium [soude caustique], solide")</f>
        <v xml:space="preserve">   Hydroxyde de sodium [soude caustique], solide</v>
      </c>
      <c r="C8003">
        <v>28343445</v>
      </c>
      <c r="D8003">
        <v>395096</v>
      </c>
    </row>
    <row r="8004" spans="1:4" x14ac:dyDescent="0.25">
      <c r="A8004" t="str">
        <f>T("   281512")</f>
        <v xml:space="preserve">   281512</v>
      </c>
      <c r="B8004" t="str">
        <f>T("   Hydroxyde de sodium en solution aqueuse [lessive de soude caustique]")</f>
        <v xml:space="preserve">   Hydroxyde de sodium en solution aqueuse [lessive de soude caustique]</v>
      </c>
      <c r="C8004">
        <v>5483250</v>
      </c>
      <c r="D8004">
        <v>40485</v>
      </c>
    </row>
    <row r="8005" spans="1:4" x14ac:dyDescent="0.25">
      <c r="A8005" t="str">
        <f>T("   282720")</f>
        <v xml:space="preserve">   282720</v>
      </c>
      <c r="B8005" t="str">
        <f>T("   Chlorure de calcium")</f>
        <v xml:space="preserve">   Chlorure de calcium</v>
      </c>
      <c r="C8005">
        <v>196875</v>
      </c>
      <c r="D8005">
        <v>2625</v>
      </c>
    </row>
    <row r="8006" spans="1:4" x14ac:dyDescent="0.25">
      <c r="A8006" t="str">
        <f>T("   282810")</f>
        <v xml:space="preserve">   282810</v>
      </c>
      <c r="B8006" t="str">
        <f>T("   Hypochlorites de calcium, y.c. l'hypochlorite de calcium du commerce")</f>
        <v xml:space="preserve">   Hypochlorites de calcium, y.c. l'hypochlorite de calcium du commerce</v>
      </c>
      <c r="C8006">
        <v>45000</v>
      </c>
      <c r="D8006">
        <v>30</v>
      </c>
    </row>
    <row r="8007" spans="1:4" x14ac:dyDescent="0.25">
      <c r="A8007" t="str">
        <f>T("   282890")</f>
        <v xml:space="preserve">   282890</v>
      </c>
      <c r="B8007" t="str">
        <f>T("   Hypochlorites, chlorites et hypobromites (à l'excl. des hypochlorites de calcium)")</f>
        <v xml:space="preserve">   Hypochlorites, chlorites et hypobromites (à l'excl. des hypochlorites de calcium)</v>
      </c>
      <c r="C8007">
        <v>29296920</v>
      </c>
      <c r="D8007">
        <v>86990</v>
      </c>
    </row>
    <row r="8008" spans="1:4" x14ac:dyDescent="0.25">
      <c r="A8008" t="str">
        <f>T("   283330")</f>
        <v xml:space="preserve">   283330</v>
      </c>
      <c r="B8008" t="str">
        <f>T("   Aluns")</f>
        <v xml:space="preserve">   Aluns</v>
      </c>
      <c r="C8008">
        <v>29400</v>
      </c>
      <c r="D8008">
        <v>147</v>
      </c>
    </row>
    <row r="8009" spans="1:4" x14ac:dyDescent="0.25">
      <c r="A8009" t="str">
        <f>T("   283630")</f>
        <v xml:space="preserve">   283630</v>
      </c>
      <c r="B8009" t="str">
        <f>T("   Hydrogénocarbonate [bicarbonate] de sodium")</f>
        <v xml:space="preserve">   Hydrogénocarbonate [bicarbonate] de sodium</v>
      </c>
      <c r="C8009">
        <v>71550</v>
      </c>
      <c r="D8009">
        <v>477</v>
      </c>
    </row>
    <row r="8010" spans="1:4" x14ac:dyDescent="0.25">
      <c r="A8010" t="str">
        <f>T("   283650")</f>
        <v xml:space="preserve">   283650</v>
      </c>
      <c r="B8010" t="str">
        <f>T("   Carbonate de calcium")</f>
        <v xml:space="preserve">   Carbonate de calcium</v>
      </c>
      <c r="C8010">
        <v>4121670</v>
      </c>
      <c r="D8010">
        <v>53800</v>
      </c>
    </row>
    <row r="8011" spans="1:4" x14ac:dyDescent="0.25">
      <c r="A8011" t="str">
        <f>T("   284910")</f>
        <v xml:space="preserve">   284910</v>
      </c>
      <c r="B8011" t="str">
        <f>T("   Carbure de calcium, de constitution chimique définie ou non")</f>
        <v xml:space="preserve">   Carbure de calcium, de constitution chimique définie ou non</v>
      </c>
      <c r="C8011">
        <v>5642500</v>
      </c>
      <c r="D8011">
        <v>30500</v>
      </c>
    </row>
    <row r="8012" spans="1:4" x14ac:dyDescent="0.25">
      <c r="A8012" t="str">
        <f>T("   284990")</f>
        <v xml:space="preserve">   284990</v>
      </c>
      <c r="B8012" t="str">
        <f>T("   Carbures, de constitution chimique définie ou non (à l'excl. des carbures de calcium et de silicium)")</f>
        <v xml:space="preserve">   Carbures, de constitution chimique définie ou non (à l'excl. des carbures de calcium et de silicium)</v>
      </c>
      <c r="C8012">
        <v>12847500</v>
      </c>
      <c r="D8012">
        <v>69500</v>
      </c>
    </row>
    <row r="8013" spans="1:4" x14ac:dyDescent="0.25">
      <c r="A8013" t="str">
        <f>T("   285100")</f>
        <v xml:space="preserve">   285100</v>
      </c>
      <c r="B8013"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8013">
        <v>315000</v>
      </c>
      <c r="D8013">
        <v>300</v>
      </c>
    </row>
    <row r="8014" spans="1:4" x14ac:dyDescent="0.25">
      <c r="A8014" t="str">
        <f>T("   290532")</f>
        <v xml:space="preserve">   290532</v>
      </c>
      <c r="B8014" t="str">
        <f>T("   Propylène glycol [propane-1,2-diol]")</f>
        <v xml:space="preserve">   Propylène glycol [propane-1,2-diol]</v>
      </c>
      <c r="C8014">
        <v>1275000</v>
      </c>
      <c r="D8014">
        <v>3000</v>
      </c>
    </row>
    <row r="8015" spans="1:4" x14ac:dyDescent="0.25">
      <c r="A8015" t="str">
        <f>T("   291421")</f>
        <v xml:space="preserve">   291421</v>
      </c>
      <c r="B8015" t="str">
        <f>T("   Camphre")</f>
        <v xml:space="preserve">   Camphre</v>
      </c>
      <c r="C8015">
        <v>305400</v>
      </c>
      <c r="D8015">
        <v>1018</v>
      </c>
    </row>
    <row r="8016" spans="1:4" x14ac:dyDescent="0.25">
      <c r="A8016" t="str">
        <f>T("   300620")</f>
        <v xml:space="preserve">   300620</v>
      </c>
      <c r="B8016" t="str">
        <f>T("   Réactifs destinés à la détermination des groupes ou des facteurs sanguins")</f>
        <v xml:space="preserve">   Réactifs destinés à la détermination des groupes ou des facteurs sanguins</v>
      </c>
      <c r="C8016">
        <v>62000</v>
      </c>
      <c r="D8016">
        <v>16</v>
      </c>
    </row>
    <row r="8017" spans="1:4" x14ac:dyDescent="0.25">
      <c r="A8017" t="str">
        <f>T("   310520")</f>
        <v xml:space="preserve">   310520</v>
      </c>
      <c r="B8017"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8017">
        <v>2087500</v>
      </c>
      <c r="D8017">
        <v>83500</v>
      </c>
    </row>
    <row r="8018" spans="1:4" x14ac:dyDescent="0.25">
      <c r="A8018" t="str">
        <f>T("   320300")</f>
        <v xml:space="preserve">   320300</v>
      </c>
      <c r="B8018" t="s">
        <v>91</v>
      </c>
      <c r="C8018">
        <v>1012375</v>
      </c>
      <c r="D8018">
        <v>445</v>
      </c>
    </row>
    <row r="8019" spans="1:4" x14ac:dyDescent="0.25">
      <c r="A8019" t="str">
        <f>T("   320490")</f>
        <v xml:space="preserve">   320490</v>
      </c>
      <c r="B8019" t="str">
        <f>T("   Produits organiques synthétiques des types utilisés comme luminophores, même de constitution chimique définie")</f>
        <v xml:space="preserve">   Produits organiques synthétiques des types utilisés comme luminophores, même de constitution chimique définie</v>
      </c>
      <c r="C8019">
        <v>304420</v>
      </c>
      <c r="D8019">
        <v>50</v>
      </c>
    </row>
    <row r="8020" spans="1:4" x14ac:dyDescent="0.25">
      <c r="A8020" t="str">
        <f>T("   320820")</f>
        <v xml:space="preserve">   320820</v>
      </c>
      <c r="B8020" t="s">
        <v>101</v>
      </c>
      <c r="C8020">
        <v>171600</v>
      </c>
      <c r="D8020">
        <v>210</v>
      </c>
    </row>
    <row r="8021" spans="1:4" x14ac:dyDescent="0.25">
      <c r="A8021" t="str">
        <f>T("   320910")</f>
        <v xml:space="preserve">   320910</v>
      </c>
      <c r="B8021" t="str">
        <f>T("   Peintures et vernis à base de polymères acryliques ou vinyliques, dispersés ou dissous dans un milieu aqueux")</f>
        <v xml:space="preserve">   Peintures et vernis à base de polymères acryliques ou vinyliques, dispersés ou dissous dans un milieu aqueux</v>
      </c>
      <c r="C8021">
        <v>1351035</v>
      </c>
      <c r="D8021">
        <v>4239</v>
      </c>
    </row>
    <row r="8022" spans="1:4" x14ac:dyDescent="0.25">
      <c r="A8022" t="str">
        <f>T("   321410")</f>
        <v xml:space="preserve">   321410</v>
      </c>
      <c r="B8022" t="str">
        <f>T("   Mastic de vitrier, ciments de résine et autres mastics; enduits utilisés en peinture")</f>
        <v xml:space="preserve">   Mastic de vitrier, ciments de résine et autres mastics; enduits utilisés en peinture</v>
      </c>
      <c r="C8022">
        <v>312000</v>
      </c>
      <c r="D8022">
        <v>520</v>
      </c>
    </row>
    <row r="8023" spans="1:4" x14ac:dyDescent="0.25">
      <c r="A8023" t="str">
        <f>T("   321519")</f>
        <v xml:space="preserve">   321519</v>
      </c>
      <c r="B8023" t="str">
        <f>T("   Encres d'imprimerie, même concentrées ou sous formes solides (à l'excl. des encres noires)")</f>
        <v xml:space="preserve">   Encres d'imprimerie, même concentrées ou sous formes solides (à l'excl. des encres noires)</v>
      </c>
      <c r="C8023">
        <v>4988500</v>
      </c>
      <c r="D8023">
        <v>3871</v>
      </c>
    </row>
    <row r="8024" spans="1:4" x14ac:dyDescent="0.25">
      <c r="A8024" t="str">
        <f>T("   330300")</f>
        <v xml:space="preserve">   330300</v>
      </c>
      <c r="B802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024">
        <v>6940713</v>
      </c>
      <c r="D8024">
        <v>27000</v>
      </c>
    </row>
    <row r="8025" spans="1:4" x14ac:dyDescent="0.25">
      <c r="A8025" t="str">
        <f>T("   330420")</f>
        <v xml:space="preserve">   330420</v>
      </c>
      <c r="B8025" t="str">
        <f>T("   Produits de maquillage pour les yeux")</f>
        <v xml:space="preserve">   Produits de maquillage pour les yeux</v>
      </c>
      <c r="C8025">
        <v>59500</v>
      </c>
      <c r="D8025">
        <v>70</v>
      </c>
    </row>
    <row r="8026" spans="1:4" x14ac:dyDescent="0.25">
      <c r="A8026" t="str">
        <f>T("   330499")</f>
        <v xml:space="preserve">   330499</v>
      </c>
      <c r="B8026" t="s">
        <v>106</v>
      </c>
      <c r="C8026">
        <v>98370606</v>
      </c>
      <c r="D8026">
        <v>135080</v>
      </c>
    </row>
    <row r="8027" spans="1:4" x14ac:dyDescent="0.25">
      <c r="A8027" t="str">
        <f>T("   330590")</f>
        <v xml:space="preserve">   330590</v>
      </c>
      <c r="B8027"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8027">
        <v>22674569</v>
      </c>
      <c r="D8027">
        <v>39624</v>
      </c>
    </row>
    <row r="8028" spans="1:4" x14ac:dyDescent="0.25">
      <c r="A8028" t="str">
        <f>T("   330610")</f>
        <v xml:space="preserve">   330610</v>
      </c>
      <c r="B8028" t="str">
        <f>T("   Dentifrices, préparés, même des types utilisés par les dentistes")</f>
        <v xml:space="preserve">   Dentifrices, préparés, même des types utilisés par les dentistes</v>
      </c>
      <c r="C8028">
        <v>230500</v>
      </c>
      <c r="D8028">
        <v>461</v>
      </c>
    </row>
    <row r="8029" spans="1:4" x14ac:dyDescent="0.25">
      <c r="A8029" t="str">
        <f>T("   330720")</f>
        <v xml:space="preserve">   330720</v>
      </c>
      <c r="B8029" t="str">
        <f>T("   Désodorisants corporels et antisudoraux, préparés")</f>
        <v xml:space="preserve">   Désodorisants corporels et antisudoraux, préparés</v>
      </c>
      <c r="C8029">
        <v>594200</v>
      </c>
      <c r="D8029">
        <v>1063</v>
      </c>
    </row>
    <row r="8030" spans="1:4" x14ac:dyDescent="0.25">
      <c r="A8030" t="str">
        <f>T("   330749")</f>
        <v xml:space="preserve">   330749</v>
      </c>
      <c r="B803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8030">
        <v>1468700</v>
      </c>
      <c r="D8030">
        <v>2687</v>
      </c>
    </row>
    <row r="8031" spans="1:4" x14ac:dyDescent="0.25">
      <c r="A8031" t="str">
        <f>T("   330790")</f>
        <v xml:space="preserve">   330790</v>
      </c>
      <c r="B8031" t="str">
        <f>T("   Dépilatoires, autres produits de parfumerie ou de toilette préparés et autres préparations cosmétiques, n.d.a.")</f>
        <v xml:space="preserve">   Dépilatoires, autres produits de parfumerie ou de toilette préparés et autres préparations cosmétiques, n.d.a.</v>
      </c>
      <c r="C8031">
        <v>392800</v>
      </c>
      <c r="D8031">
        <v>491</v>
      </c>
    </row>
    <row r="8032" spans="1:4" x14ac:dyDescent="0.25">
      <c r="A8032" t="str">
        <f>T("   340111")</f>
        <v xml:space="preserve">   340111</v>
      </c>
      <c r="B8032" t="s">
        <v>107</v>
      </c>
      <c r="C8032">
        <v>13973879</v>
      </c>
      <c r="D8032">
        <v>27283</v>
      </c>
    </row>
    <row r="8033" spans="1:4" x14ac:dyDescent="0.25">
      <c r="A8033" t="str">
        <f>T("   340119")</f>
        <v xml:space="preserve">   340119</v>
      </c>
      <c r="B8033" t="s">
        <v>108</v>
      </c>
      <c r="C8033">
        <v>390100</v>
      </c>
      <c r="D8033">
        <v>490</v>
      </c>
    </row>
    <row r="8034" spans="1:4" x14ac:dyDescent="0.25">
      <c r="A8034" t="str">
        <f>T("   340219")</f>
        <v xml:space="preserve">   340219</v>
      </c>
      <c r="B8034"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8034">
        <v>1803890</v>
      </c>
      <c r="D8034">
        <v>2010</v>
      </c>
    </row>
    <row r="8035" spans="1:4" x14ac:dyDescent="0.25">
      <c r="A8035" t="str">
        <f>T("   340220")</f>
        <v xml:space="preserve">   340220</v>
      </c>
      <c r="B8035" t="s">
        <v>109</v>
      </c>
      <c r="C8035">
        <v>30328074</v>
      </c>
      <c r="D8035">
        <v>110933</v>
      </c>
    </row>
    <row r="8036" spans="1:4" x14ac:dyDescent="0.25">
      <c r="A8036" t="str">
        <f>T("   340290")</f>
        <v xml:space="preserve">   340290</v>
      </c>
      <c r="B8036" t="s">
        <v>110</v>
      </c>
      <c r="C8036">
        <v>475192</v>
      </c>
      <c r="D8036">
        <v>79</v>
      </c>
    </row>
    <row r="8037" spans="1:4" x14ac:dyDescent="0.25">
      <c r="A8037" t="str">
        <f>T("   340490")</f>
        <v xml:space="preserve">   340490</v>
      </c>
      <c r="B8037" t="s">
        <v>113</v>
      </c>
      <c r="C8037">
        <v>142343</v>
      </c>
      <c r="D8037">
        <v>6240</v>
      </c>
    </row>
    <row r="8038" spans="1:4" x14ac:dyDescent="0.25">
      <c r="A8038" t="str">
        <f>T("   340510")</f>
        <v xml:space="preserve">   340510</v>
      </c>
      <c r="B8038" t="s">
        <v>114</v>
      </c>
      <c r="C8038">
        <v>247600</v>
      </c>
      <c r="D8038">
        <v>361</v>
      </c>
    </row>
    <row r="8039" spans="1:4" x14ac:dyDescent="0.25">
      <c r="A8039" t="str">
        <f>T("   340540")</f>
        <v xml:space="preserve">   340540</v>
      </c>
      <c r="B8039"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8039">
        <v>6196560</v>
      </c>
      <c r="D8039">
        <v>8346</v>
      </c>
    </row>
    <row r="8040" spans="1:4" x14ac:dyDescent="0.25">
      <c r="A8040" t="str">
        <f>T("   340600")</f>
        <v xml:space="preserve">   340600</v>
      </c>
      <c r="B8040" t="str">
        <f>T("   Bougies, chandelles, cierges et articles simil.")</f>
        <v xml:space="preserve">   Bougies, chandelles, cierges et articles simil.</v>
      </c>
      <c r="C8040">
        <v>60802000</v>
      </c>
      <c r="D8040">
        <v>170970</v>
      </c>
    </row>
    <row r="8041" spans="1:4" x14ac:dyDescent="0.25">
      <c r="A8041" t="str">
        <f>T("   350610")</f>
        <v xml:space="preserve">   350610</v>
      </c>
      <c r="B8041"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8041">
        <v>6748640</v>
      </c>
      <c r="D8041">
        <v>8659</v>
      </c>
    </row>
    <row r="8042" spans="1:4" x14ac:dyDescent="0.25">
      <c r="A8042" t="str">
        <f>T("   360690")</f>
        <v xml:space="preserve">   360690</v>
      </c>
      <c r="B8042" t="s">
        <v>119</v>
      </c>
      <c r="C8042">
        <v>6000</v>
      </c>
      <c r="D8042">
        <v>20</v>
      </c>
    </row>
    <row r="8043" spans="1:4" x14ac:dyDescent="0.25">
      <c r="A8043" t="str">
        <f>T("   370239")</f>
        <v xml:space="preserve">   370239</v>
      </c>
      <c r="B8043" t="s">
        <v>122</v>
      </c>
      <c r="C8043">
        <v>160000</v>
      </c>
      <c r="D8043">
        <v>100</v>
      </c>
    </row>
    <row r="8044" spans="1:4" x14ac:dyDescent="0.25">
      <c r="A8044" t="str">
        <f>T("   370390")</f>
        <v xml:space="preserve">   370390</v>
      </c>
      <c r="B8044"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8044">
        <v>591100</v>
      </c>
      <c r="D8044">
        <v>1025</v>
      </c>
    </row>
    <row r="8045" spans="1:4" x14ac:dyDescent="0.25">
      <c r="A8045" t="str">
        <f>T("   370590")</f>
        <v xml:space="preserve">   370590</v>
      </c>
      <c r="B8045"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8045">
        <v>48000</v>
      </c>
      <c r="D8045">
        <v>320</v>
      </c>
    </row>
    <row r="8046" spans="1:4" x14ac:dyDescent="0.25">
      <c r="A8046" t="str">
        <f>T("   380810")</f>
        <v xml:space="preserve">   380810</v>
      </c>
      <c r="B8046"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046">
        <v>5691200</v>
      </c>
      <c r="D8046">
        <v>37691</v>
      </c>
    </row>
    <row r="8047" spans="1:4" x14ac:dyDescent="0.25">
      <c r="A8047" t="str">
        <f>T("   380840")</f>
        <v xml:space="preserve">   380840</v>
      </c>
      <c r="B804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8047">
        <v>2891376</v>
      </c>
      <c r="D8047">
        <v>6300</v>
      </c>
    </row>
    <row r="8048" spans="1:4" x14ac:dyDescent="0.25">
      <c r="A8048" t="str">
        <f>T("   380850")</f>
        <v xml:space="preserve">   380850</v>
      </c>
      <c r="B8048" t="s">
        <v>125</v>
      </c>
      <c r="C8048">
        <v>78161</v>
      </c>
      <c r="D8048">
        <v>90</v>
      </c>
    </row>
    <row r="8049" spans="1:4" x14ac:dyDescent="0.25">
      <c r="A8049" t="str">
        <f>T("   381400")</f>
        <v xml:space="preserve">   381400</v>
      </c>
      <c r="B8049"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049">
        <v>3341000</v>
      </c>
      <c r="D8049">
        <v>1960</v>
      </c>
    </row>
    <row r="8050" spans="1:4" x14ac:dyDescent="0.25">
      <c r="A8050" t="str">
        <f>T("   382440")</f>
        <v xml:space="preserve">   382440</v>
      </c>
      <c r="B8050" t="str">
        <f>T("   Additifs préparés pour ciments, mortiers ou bétons")</f>
        <v xml:space="preserve">   Additifs préparés pour ciments, mortiers ou bétons</v>
      </c>
      <c r="C8050">
        <v>9716074</v>
      </c>
      <c r="D8050">
        <v>115000</v>
      </c>
    </row>
    <row r="8051" spans="1:4" x14ac:dyDescent="0.25">
      <c r="A8051" t="str">
        <f>T("   390210")</f>
        <v xml:space="preserve">   390210</v>
      </c>
      <c r="B8051" t="str">
        <f>T("   Polypropylène, sous formes primaires")</f>
        <v xml:space="preserve">   Polypropylène, sous formes primaires</v>
      </c>
      <c r="C8051">
        <v>39158800</v>
      </c>
      <c r="D8051">
        <v>485828</v>
      </c>
    </row>
    <row r="8052" spans="1:4" x14ac:dyDescent="0.25">
      <c r="A8052" t="str">
        <f>T("   390290")</f>
        <v xml:space="preserve">   390290</v>
      </c>
      <c r="B8052" t="str">
        <f>T("   Polymères de propylène ou d'autres oléfines, sous formes primaires (à l'excl. du polypropylène, du polyisobutylène et des copolymères de propylène)")</f>
        <v xml:space="preserve">   Polymères de propylène ou d'autres oléfines, sous formes primaires (à l'excl. du polypropylène, du polyisobutylène et des copolymères de propylène)</v>
      </c>
      <c r="C8052">
        <v>792000</v>
      </c>
      <c r="D8052">
        <v>2600</v>
      </c>
    </row>
    <row r="8053" spans="1:4" x14ac:dyDescent="0.25">
      <c r="A8053" t="str">
        <f>T("   390760")</f>
        <v xml:space="preserve">   390760</v>
      </c>
      <c r="B8053" t="str">
        <f>T("   Poly[éthylène téréphtalate], sous formes primaires")</f>
        <v xml:space="preserve">   Poly[éthylène téréphtalate], sous formes primaires</v>
      </c>
      <c r="C8053">
        <v>114000</v>
      </c>
      <c r="D8053">
        <v>580</v>
      </c>
    </row>
    <row r="8054" spans="1:4" x14ac:dyDescent="0.25">
      <c r="A8054" t="str">
        <f>T("   391723")</f>
        <v xml:space="preserve">   391723</v>
      </c>
      <c r="B8054" t="str">
        <f>T("   TUBES ET TUYAUX RIGIDES, EN POLYMÈRES DU CHLORURE DE VINYLE")</f>
        <v xml:space="preserve">   TUBES ET TUYAUX RIGIDES, EN POLYMÈRES DU CHLORURE DE VINYLE</v>
      </c>
      <c r="C8054">
        <v>468000</v>
      </c>
      <c r="D8054">
        <v>3600</v>
      </c>
    </row>
    <row r="8055" spans="1:4" x14ac:dyDescent="0.25">
      <c r="A8055" t="str">
        <f>T("   391729")</f>
        <v xml:space="preserve">   391729</v>
      </c>
      <c r="B8055"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8055">
        <v>544250</v>
      </c>
      <c r="D8055">
        <v>710</v>
      </c>
    </row>
    <row r="8056" spans="1:4" x14ac:dyDescent="0.25">
      <c r="A8056" t="str">
        <f>T("   391739")</f>
        <v xml:space="preserve">   391739</v>
      </c>
      <c r="B805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056">
        <v>473575</v>
      </c>
      <c r="D8056">
        <v>997</v>
      </c>
    </row>
    <row r="8057" spans="1:4" x14ac:dyDescent="0.25">
      <c r="A8057" t="str">
        <f>T("   391740")</f>
        <v xml:space="preserve">   391740</v>
      </c>
      <c r="B8057" t="str">
        <f>T("   Accessoires pour tubes ou tuyaux [joints, coudes, raccords, par exemple], en matières plastiques")</f>
        <v xml:space="preserve">   Accessoires pour tubes ou tuyaux [joints, coudes, raccords, par exemple], en matières plastiques</v>
      </c>
      <c r="C8057">
        <v>186965</v>
      </c>
      <c r="D8057">
        <v>403</v>
      </c>
    </row>
    <row r="8058" spans="1:4" x14ac:dyDescent="0.25">
      <c r="A8058" t="str">
        <f>T("   391890")</f>
        <v xml:space="preserve">   391890</v>
      </c>
      <c r="B8058" t="s">
        <v>138</v>
      </c>
      <c r="C8058">
        <v>19541</v>
      </c>
      <c r="D8058">
        <v>50</v>
      </c>
    </row>
    <row r="8059" spans="1:4" x14ac:dyDescent="0.25">
      <c r="A8059" t="str">
        <f>T("   392190")</f>
        <v xml:space="preserve">   392190</v>
      </c>
      <c r="B8059" t="s">
        <v>155</v>
      </c>
      <c r="C8059">
        <v>49067695</v>
      </c>
      <c r="D8059">
        <v>74842</v>
      </c>
    </row>
    <row r="8060" spans="1:4" x14ac:dyDescent="0.25">
      <c r="A8060" t="str">
        <f>T("   392310")</f>
        <v xml:space="preserve">   392310</v>
      </c>
      <c r="B8060" t="str">
        <f>T("   Boîtes, caisses, casiers et articles simil. pour le transport ou l'emballage, en matières plastiques")</f>
        <v xml:space="preserve">   Boîtes, caisses, casiers et articles simil. pour le transport ou l'emballage, en matières plastiques</v>
      </c>
      <c r="C8060">
        <v>116919</v>
      </c>
      <c r="D8060">
        <v>138</v>
      </c>
    </row>
    <row r="8061" spans="1:4" x14ac:dyDescent="0.25">
      <c r="A8061" t="str">
        <f>T("   392329")</f>
        <v xml:space="preserve">   392329</v>
      </c>
      <c r="B8061" t="str">
        <f>T("   Sacs, sachets, pochettes et cornets, en matières plastiques (autres que les polymères de l'éthylène)")</f>
        <v xml:space="preserve">   Sacs, sachets, pochettes et cornets, en matières plastiques (autres que les polymères de l'éthylène)</v>
      </c>
      <c r="C8061">
        <v>16707604</v>
      </c>
      <c r="D8061">
        <v>81951</v>
      </c>
    </row>
    <row r="8062" spans="1:4" x14ac:dyDescent="0.25">
      <c r="A8062" t="str">
        <f>T("   392330")</f>
        <v xml:space="preserve">   392330</v>
      </c>
      <c r="B8062" t="str">
        <f>T("   Bonbonnes, bouteilles, flacons et articles simil. pour le transport ou l'emballage, en matières plastiques")</f>
        <v xml:space="preserve">   Bonbonnes, bouteilles, flacons et articles simil. pour le transport ou l'emballage, en matières plastiques</v>
      </c>
      <c r="C8062">
        <v>4970900</v>
      </c>
      <c r="D8062">
        <v>10090</v>
      </c>
    </row>
    <row r="8063" spans="1:4" x14ac:dyDescent="0.25">
      <c r="A8063" t="str">
        <f>T("   392490")</f>
        <v xml:space="preserve">   392490</v>
      </c>
      <c r="B8063" t="s">
        <v>157</v>
      </c>
      <c r="C8063">
        <v>1062849</v>
      </c>
      <c r="D8063">
        <v>2768</v>
      </c>
    </row>
    <row r="8064" spans="1:4" x14ac:dyDescent="0.25">
      <c r="A8064" t="str">
        <f>T("   392510")</f>
        <v xml:space="preserve">   392510</v>
      </c>
      <c r="B8064" t="str">
        <f>T("   Réservoirs, foudres, cuves et récipients analogues, en matières plastiques, d'une contenance &gt; 300 l")</f>
        <v xml:space="preserve">   Réservoirs, foudres, cuves et récipients analogues, en matières plastiques, d'une contenance &gt; 300 l</v>
      </c>
      <c r="C8064">
        <v>21848000</v>
      </c>
      <c r="D8064">
        <v>104850</v>
      </c>
    </row>
    <row r="8065" spans="1:4" x14ac:dyDescent="0.25">
      <c r="A8065" t="str">
        <f>T("   392590")</f>
        <v xml:space="preserve">   392590</v>
      </c>
      <c r="B8065" t="s">
        <v>158</v>
      </c>
      <c r="C8065">
        <v>942250</v>
      </c>
      <c r="D8065">
        <v>1730</v>
      </c>
    </row>
    <row r="8066" spans="1:4" x14ac:dyDescent="0.25">
      <c r="A8066" t="str">
        <f>T("   392620")</f>
        <v xml:space="preserve">   392620</v>
      </c>
      <c r="B8066"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8066">
        <v>104800</v>
      </c>
      <c r="D8066">
        <v>76</v>
      </c>
    </row>
    <row r="8067" spans="1:4" x14ac:dyDescent="0.25">
      <c r="A8067" t="str">
        <f>T("   392640")</f>
        <v xml:space="preserve">   392640</v>
      </c>
      <c r="B8067" t="str">
        <f>T("   Statuettes et autres objets d'ornementation, en matières plastiques")</f>
        <v xml:space="preserve">   Statuettes et autres objets d'ornementation, en matières plastiques</v>
      </c>
      <c r="C8067">
        <v>1844150</v>
      </c>
      <c r="D8067">
        <v>5523</v>
      </c>
    </row>
    <row r="8068" spans="1:4" x14ac:dyDescent="0.25">
      <c r="A8068" t="str">
        <f>T("   392690")</f>
        <v xml:space="preserve">   392690</v>
      </c>
      <c r="B8068" t="str">
        <f>T("   Ouvrages en matières plastiques et ouvrages en autres matières du n° 3901 à 3914, n.d.a.")</f>
        <v xml:space="preserve">   Ouvrages en matières plastiques et ouvrages en autres matières du n° 3901 à 3914, n.d.a.</v>
      </c>
      <c r="C8068">
        <v>60947878</v>
      </c>
      <c r="D8068">
        <v>189168</v>
      </c>
    </row>
    <row r="8069" spans="1:4" x14ac:dyDescent="0.25">
      <c r="A8069" t="str">
        <f>T("   400510")</f>
        <v xml:space="preserve">   400510</v>
      </c>
      <c r="B8069" t="str">
        <f>T("   Caoutchouc, non vulcanisé, additionné de noir de carbone ou de silice, sous formes primaires ou en plaques, feuilles ou bandes")</f>
        <v xml:space="preserve">   Caoutchouc, non vulcanisé, additionné de noir de carbone ou de silice, sous formes primaires ou en plaques, feuilles ou bandes</v>
      </c>
      <c r="C8069">
        <v>27000</v>
      </c>
      <c r="D8069">
        <v>18</v>
      </c>
    </row>
    <row r="8070" spans="1:4" x14ac:dyDescent="0.25">
      <c r="A8070" t="str">
        <f>T("   400700")</f>
        <v xml:space="preserve">   400700</v>
      </c>
      <c r="B8070" t="s">
        <v>162</v>
      </c>
      <c r="C8070">
        <v>259000</v>
      </c>
      <c r="D8070">
        <v>1295</v>
      </c>
    </row>
    <row r="8071" spans="1:4" x14ac:dyDescent="0.25">
      <c r="A8071" t="str">
        <f>T("   400821")</f>
        <v xml:space="preserve">   400821</v>
      </c>
      <c r="B8071" t="str">
        <f>T("   PLAQUES, FEUILLES ET BANDES, EN CAOUTCHOUC NON-ALVÉOLAIRE NON-DURCI")</f>
        <v xml:space="preserve">   PLAQUES, FEUILLES ET BANDES, EN CAOUTCHOUC NON-ALVÉOLAIRE NON-DURCI</v>
      </c>
      <c r="C8071">
        <v>13201000</v>
      </c>
      <c r="D8071">
        <v>9151</v>
      </c>
    </row>
    <row r="8072" spans="1:4" x14ac:dyDescent="0.25">
      <c r="A8072" t="str">
        <f>T("   400942")</f>
        <v xml:space="preserve">   400942</v>
      </c>
      <c r="B8072" t="s">
        <v>163</v>
      </c>
      <c r="C8072">
        <v>766000</v>
      </c>
      <c r="D8072">
        <v>1500</v>
      </c>
    </row>
    <row r="8073" spans="1:4" x14ac:dyDescent="0.25">
      <c r="A8073" t="str">
        <f>T("   401110")</f>
        <v xml:space="preserve">   401110</v>
      </c>
      <c r="B807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073">
        <v>7190000</v>
      </c>
      <c r="D8073">
        <v>9050</v>
      </c>
    </row>
    <row r="8074" spans="1:4" x14ac:dyDescent="0.25">
      <c r="A8074" t="str">
        <f>T("   401120")</f>
        <v xml:space="preserve">   401120</v>
      </c>
      <c r="B807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074">
        <v>18075973</v>
      </c>
      <c r="D8074">
        <v>18000</v>
      </c>
    </row>
    <row r="8075" spans="1:4" x14ac:dyDescent="0.25">
      <c r="A8075" t="str">
        <f>T("   401140")</f>
        <v xml:space="preserve">   401140</v>
      </c>
      <c r="B8075" t="str">
        <f>T("   Pneumatiques neufs, en caoutchouc, des types utilisés pour les motocycles")</f>
        <v xml:space="preserve">   Pneumatiques neufs, en caoutchouc, des types utilisés pour les motocycles</v>
      </c>
      <c r="C8075">
        <v>78786162</v>
      </c>
      <c r="D8075">
        <v>139800</v>
      </c>
    </row>
    <row r="8076" spans="1:4" x14ac:dyDescent="0.25">
      <c r="A8076" t="str">
        <f>T("   401150")</f>
        <v xml:space="preserve">   401150</v>
      </c>
      <c r="B8076" t="str">
        <f>T("   Pneumatiques neufs, en caoutchouc, des types utilisés pour les bicyclettes")</f>
        <v xml:space="preserve">   Pneumatiques neufs, en caoutchouc, des types utilisés pour les bicyclettes</v>
      </c>
      <c r="C8076">
        <v>152000</v>
      </c>
      <c r="D8076">
        <v>250</v>
      </c>
    </row>
    <row r="8077" spans="1:4" x14ac:dyDescent="0.25">
      <c r="A8077" t="str">
        <f>T("   401691")</f>
        <v xml:space="preserve">   401691</v>
      </c>
      <c r="B8077" t="s">
        <v>166</v>
      </c>
      <c r="C8077">
        <v>104000</v>
      </c>
      <c r="D8077">
        <v>80</v>
      </c>
    </row>
    <row r="8078" spans="1:4" x14ac:dyDescent="0.25">
      <c r="A8078" t="str">
        <f>T("   420222")</f>
        <v xml:space="preserve">   420222</v>
      </c>
      <c r="B8078"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8078">
        <v>216000</v>
      </c>
      <c r="D8078">
        <v>300</v>
      </c>
    </row>
    <row r="8079" spans="1:4" x14ac:dyDescent="0.25">
      <c r="A8079" t="str">
        <f>T("   420292")</f>
        <v xml:space="preserve">   420292</v>
      </c>
      <c r="B8079" t="s">
        <v>173</v>
      </c>
      <c r="C8079">
        <v>93100</v>
      </c>
      <c r="D8079">
        <v>100</v>
      </c>
    </row>
    <row r="8080" spans="1:4" x14ac:dyDescent="0.25">
      <c r="A8080" t="str">
        <f>T("   420330")</f>
        <v xml:space="preserve">   420330</v>
      </c>
      <c r="B8080" t="str">
        <f>T("   Ceintures, ceinturons et baudriers, en cuir naturel ou reconstitué")</f>
        <v xml:space="preserve">   Ceintures, ceinturons et baudriers, en cuir naturel ou reconstitué</v>
      </c>
      <c r="C8080">
        <v>93500</v>
      </c>
      <c r="D8080">
        <v>187</v>
      </c>
    </row>
    <row r="8081" spans="1:4" x14ac:dyDescent="0.25">
      <c r="A8081" t="str">
        <f>T("   440729")</f>
        <v xml:space="preserve">   440729</v>
      </c>
      <c r="B8081" t="s">
        <v>179</v>
      </c>
      <c r="C8081">
        <v>1055295</v>
      </c>
      <c r="D8081">
        <v>24457</v>
      </c>
    </row>
    <row r="8082" spans="1:4" x14ac:dyDescent="0.25">
      <c r="A8082" t="str">
        <f>T("   441199")</f>
        <v xml:space="preserve">   441199</v>
      </c>
      <c r="B8082" t="s">
        <v>189</v>
      </c>
      <c r="C8082">
        <v>13150</v>
      </c>
      <c r="D8082">
        <v>20</v>
      </c>
    </row>
    <row r="8083" spans="1:4" x14ac:dyDescent="0.25">
      <c r="A8083" t="str">
        <f>T("   441211")</f>
        <v xml:space="preserve">   441211</v>
      </c>
      <c r="B8083" t="s">
        <v>190</v>
      </c>
      <c r="C8083">
        <v>100000</v>
      </c>
      <c r="D8083">
        <v>100</v>
      </c>
    </row>
    <row r="8084" spans="1:4" x14ac:dyDescent="0.25">
      <c r="A8084" t="str">
        <f>T("   441229")</f>
        <v xml:space="preserve">   441229</v>
      </c>
      <c r="B8084" t="s">
        <v>194</v>
      </c>
      <c r="C8084">
        <v>190000</v>
      </c>
      <c r="D8084">
        <v>190</v>
      </c>
    </row>
    <row r="8085" spans="1:4" x14ac:dyDescent="0.25">
      <c r="A8085" t="str">
        <f>T("   441299")</f>
        <v xml:space="preserve">   441299</v>
      </c>
      <c r="B8085" t="s">
        <v>198</v>
      </c>
      <c r="C8085">
        <v>350000</v>
      </c>
      <c r="D8085">
        <v>500</v>
      </c>
    </row>
    <row r="8086" spans="1:4" x14ac:dyDescent="0.25">
      <c r="A8086" t="str">
        <f>T("   441400")</f>
        <v xml:space="preserve">   441400</v>
      </c>
      <c r="B8086" t="str">
        <f>T("   Cadres en bois pour tableaux, photographies, miroirs ou objets simil.")</f>
        <v xml:space="preserve">   Cadres en bois pour tableaux, photographies, miroirs ou objets simil.</v>
      </c>
      <c r="C8086">
        <v>1242950</v>
      </c>
      <c r="D8086">
        <v>2477</v>
      </c>
    </row>
    <row r="8087" spans="1:4" x14ac:dyDescent="0.25">
      <c r="A8087" t="str">
        <f>T("   441890")</f>
        <v xml:space="preserve">   441890</v>
      </c>
      <c r="B8087" t="s">
        <v>200</v>
      </c>
      <c r="C8087">
        <v>81900</v>
      </c>
      <c r="D8087">
        <v>100</v>
      </c>
    </row>
    <row r="8088" spans="1:4" x14ac:dyDescent="0.25">
      <c r="A8088" t="str">
        <f>T("   441900")</f>
        <v xml:space="preserve">   441900</v>
      </c>
      <c r="B8088" t="s">
        <v>201</v>
      </c>
      <c r="C8088">
        <v>215000</v>
      </c>
      <c r="D8088">
        <v>300</v>
      </c>
    </row>
    <row r="8089" spans="1:4" x14ac:dyDescent="0.25">
      <c r="A8089" t="str">
        <f>T("   442090")</f>
        <v xml:space="preserve">   442090</v>
      </c>
      <c r="B8089" t="s">
        <v>202</v>
      </c>
      <c r="C8089">
        <v>421350</v>
      </c>
      <c r="D8089">
        <v>265</v>
      </c>
    </row>
    <row r="8090" spans="1:4" x14ac:dyDescent="0.25">
      <c r="A8090" t="str">
        <f>T("   442190")</f>
        <v xml:space="preserve">   442190</v>
      </c>
      <c r="B8090" t="str">
        <f>T("   Ouvrages, en bois, n.d.a.")</f>
        <v xml:space="preserve">   Ouvrages, en bois, n.d.a.</v>
      </c>
      <c r="C8090">
        <v>17100</v>
      </c>
      <c r="D8090">
        <v>1140</v>
      </c>
    </row>
    <row r="8091" spans="1:4" x14ac:dyDescent="0.25">
      <c r="A8091" t="str">
        <f>T("   480100")</f>
        <v xml:space="preserve">   480100</v>
      </c>
      <c r="B8091"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091">
        <v>15129990</v>
      </c>
      <c r="D8091">
        <v>11515</v>
      </c>
    </row>
    <row r="8092" spans="1:4" x14ac:dyDescent="0.25">
      <c r="A8092" t="str">
        <f>T("   480210")</f>
        <v xml:space="preserve">   480210</v>
      </c>
      <c r="B8092" t="str">
        <f>T("   Papiers et cartons formés feuille à feuille [papiers à la main], de tout format et de toute forme")</f>
        <v xml:space="preserve">   Papiers et cartons formés feuille à feuille [papiers à la main], de tout format et de toute forme</v>
      </c>
      <c r="C8092">
        <v>8004210</v>
      </c>
      <c r="D8092">
        <v>12848</v>
      </c>
    </row>
    <row r="8093" spans="1:4" x14ac:dyDescent="0.25">
      <c r="A8093" t="str">
        <f>T("   480300")</f>
        <v xml:space="preserve">   480300</v>
      </c>
      <c r="B8093" t="s">
        <v>211</v>
      </c>
      <c r="C8093">
        <v>20663341</v>
      </c>
      <c r="D8093">
        <v>72523</v>
      </c>
    </row>
    <row r="8094" spans="1:4" x14ac:dyDescent="0.25">
      <c r="A8094" t="str">
        <f>T("   480700")</f>
        <v xml:space="preserve">   480700</v>
      </c>
      <c r="B8094" t="s">
        <v>217</v>
      </c>
      <c r="C8094">
        <v>42010500</v>
      </c>
      <c r="D8094">
        <v>84022</v>
      </c>
    </row>
    <row r="8095" spans="1:4" x14ac:dyDescent="0.25">
      <c r="A8095" t="str">
        <f>T("   481013")</f>
        <v xml:space="preserve">   481013</v>
      </c>
      <c r="B8095" t="s">
        <v>221</v>
      </c>
      <c r="C8095">
        <v>840000</v>
      </c>
      <c r="D8095">
        <v>1400</v>
      </c>
    </row>
    <row r="8096" spans="1:4" x14ac:dyDescent="0.25">
      <c r="A8096" t="str">
        <f>T("   481129")</f>
        <v xml:space="preserve">   481129</v>
      </c>
      <c r="B8096" t="str">
        <f>T("   PAPIERS ET CARTONS GOMMES OU ADHÉSIFS, EN ROULEAUX OU EN FEUILLES DES TYPES DEFINIS DANS LES NOTES 7A) OU 7B) DU PRESENT CHAPITRE (À L'EXCL. DES PAPIERS ET CARTONS AUTO-ADHÉSIFS AINSI QUE DES PRODUITS DU N° 4810)")</f>
        <v xml:space="preserve">   PAPIERS ET CARTONS GOMMES OU ADHÉSIFS, EN ROULEAUX OU EN FEUILLES DES TYPES DEFINIS DANS LES NOTES 7A) OU 7B) DU PRESENT CHAPITRE (À L'EXCL. DES PAPIERS ET CARTONS AUTO-ADHÉSIFS AINSI QUE DES PRODUITS DU N° 4810)</v>
      </c>
      <c r="C8096">
        <v>528000</v>
      </c>
      <c r="D8096">
        <v>880</v>
      </c>
    </row>
    <row r="8097" spans="1:4" x14ac:dyDescent="0.25">
      <c r="A8097" t="str">
        <f>T("   481190")</f>
        <v xml:space="preserve">   481190</v>
      </c>
      <c r="B8097" t="s">
        <v>228</v>
      </c>
      <c r="C8097">
        <v>15365404</v>
      </c>
      <c r="D8097">
        <v>24644</v>
      </c>
    </row>
    <row r="8098" spans="1:4" x14ac:dyDescent="0.25">
      <c r="A8098" t="str">
        <f>T("   481420")</f>
        <v xml:space="preserve">   481420</v>
      </c>
      <c r="B8098" t="str">
        <f>T("   Papiers peints et revêtements muraux simil., constitués par du papier enduit ou recouvert, sur l'endroit, d'une couche de matière plastique grainée, gaufrée, coloriée, imprimée de motifs ou autrement décorée")</f>
        <v xml:space="preserve">   Papiers peints et revêtements muraux simil., constitués par du papier enduit ou recouvert, sur l'endroit, d'une couche de matière plastique grainée, gaufrée, coloriée, imprimée de motifs ou autrement décorée</v>
      </c>
      <c r="C8098">
        <v>88000</v>
      </c>
      <c r="D8098">
        <v>40</v>
      </c>
    </row>
    <row r="8099" spans="1:4" x14ac:dyDescent="0.25">
      <c r="A8099" t="str">
        <f>T("   481500")</f>
        <v xml:space="preserve">   481500</v>
      </c>
      <c r="B8099" t="str">
        <f>T("   Couvre-parquets à supports de papier ou de carton, même découpés (à l'excl. des couvre-parquets sans support ou à plancher en matière textile)")</f>
        <v xml:space="preserve">   Couvre-parquets à supports de papier ou de carton, même découpés (à l'excl. des couvre-parquets sans support ou à plancher en matière textile)</v>
      </c>
      <c r="C8099">
        <v>50000</v>
      </c>
      <c r="D8099">
        <v>100</v>
      </c>
    </row>
    <row r="8100" spans="1:4" x14ac:dyDescent="0.25">
      <c r="A8100" t="str">
        <f>T("   481730")</f>
        <v xml:space="preserve">   481730</v>
      </c>
      <c r="B8100" t="str">
        <f>T("   Boîtes, pochettes et présentations simil., en papier ou en carton, renfermant un assortiment d'articles de correspondance")</f>
        <v xml:space="preserve">   Boîtes, pochettes et présentations simil., en papier ou en carton, renfermant un assortiment d'articles de correspondance</v>
      </c>
      <c r="C8100">
        <v>38500</v>
      </c>
      <c r="D8100">
        <v>77</v>
      </c>
    </row>
    <row r="8101" spans="1:4" x14ac:dyDescent="0.25">
      <c r="A8101" t="str">
        <f>T("   481820")</f>
        <v xml:space="preserve">   481820</v>
      </c>
      <c r="B8101"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101">
        <v>5040000</v>
      </c>
      <c r="D8101">
        <v>16845</v>
      </c>
    </row>
    <row r="8102" spans="1:4" x14ac:dyDescent="0.25">
      <c r="A8102" t="str">
        <f>T("   481840")</f>
        <v xml:space="preserve">   481840</v>
      </c>
      <c r="B810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8102">
        <v>1223000</v>
      </c>
      <c r="D8102">
        <v>3024</v>
      </c>
    </row>
    <row r="8103" spans="1:4" x14ac:dyDescent="0.25">
      <c r="A8103" t="str">
        <f>T("   481910")</f>
        <v xml:space="preserve">   481910</v>
      </c>
      <c r="B8103" t="str">
        <f>T("   Boîtes et caisses en papier ou en carton ondulé")</f>
        <v xml:space="preserve">   Boîtes et caisses en papier ou en carton ondulé</v>
      </c>
      <c r="C8103">
        <v>11044400</v>
      </c>
      <c r="D8103">
        <v>27736</v>
      </c>
    </row>
    <row r="8104" spans="1:4" x14ac:dyDescent="0.25">
      <c r="A8104" t="str">
        <f>T("   481950")</f>
        <v xml:space="preserve">   481950</v>
      </c>
      <c r="B8104" t="s">
        <v>233</v>
      </c>
      <c r="C8104">
        <v>2898331</v>
      </c>
      <c r="D8104">
        <v>7000</v>
      </c>
    </row>
    <row r="8105" spans="1:4" x14ac:dyDescent="0.25">
      <c r="A8105" t="str">
        <f>T("   482010")</f>
        <v xml:space="preserve">   482010</v>
      </c>
      <c r="B8105"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8105">
        <v>6664000</v>
      </c>
      <c r="D8105">
        <v>3400</v>
      </c>
    </row>
    <row r="8106" spans="1:4" x14ac:dyDescent="0.25">
      <c r="A8106" t="str">
        <f>T("   482020")</f>
        <v xml:space="preserve">   482020</v>
      </c>
      <c r="B8106" t="str">
        <f>T("   Cahiers pour l'écriture, en papier ou carton")</f>
        <v xml:space="preserve">   Cahiers pour l'écriture, en papier ou carton</v>
      </c>
      <c r="C8106">
        <v>72000</v>
      </c>
      <c r="D8106">
        <v>100</v>
      </c>
    </row>
    <row r="8107" spans="1:4" x14ac:dyDescent="0.25">
      <c r="A8107" t="str">
        <f>T("   482050")</f>
        <v xml:space="preserve">   482050</v>
      </c>
      <c r="B8107" t="str">
        <f>T("   Albums pour échantillonnages ou pour collections, en papier ou en carton")</f>
        <v xml:space="preserve">   Albums pour échantillonnages ou pour collections, en papier ou en carton</v>
      </c>
      <c r="C8107">
        <v>1049500</v>
      </c>
      <c r="D8107">
        <v>2791</v>
      </c>
    </row>
    <row r="8108" spans="1:4" x14ac:dyDescent="0.25">
      <c r="A8108" t="str">
        <f>T("   482090")</f>
        <v xml:space="preserve">   482090</v>
      </c>
      <c r="B8108" t="s">
        <v>234</v>
      </c>
      <c r="C8108">
        <v>30000</v>
      </c>
      <c r="D8108">
        <v>30</v>
      </c>
    </row>
    <row r="8109" spans="1:4" x14ac:dyDescent="0.25">
      <c r="A8109" t="str">
        <f>T("   482290")</f>
        <v xml:space="preserve">   482290</v>
      </c>
      <c r="B8109" t="str">
        <f>T("   Tambours, bobines, fusettes, canettes et supports simil., en pâte à papier, papier ou carton, même perforés ou durcis (à l'excl. des articles des types utilisés pour l'enroulement des fils textiles)")</f>
        <v xml:space="preserve">   Tambours, bobines, fusettes, canettes et supports simil., en pâte à papier, papier ou carton, même perforés ou durcis (à l'excl. des articles des types utilisés pour l'enroulement des fils textiles)</v>
      </c>
      <c r="C8109">
        <v>442845</v>
      </c>
      <c r="D8109">
        <v>757</v>
      </c>
    </row>
    <row r="8110" spans="1:4" x14ac:dyDescent="0.25">
      <c r="A8110" t="str">
        <f>T("   482311")</f>
        <v xml:space="preserve">   482311</v>
      </c>
      <c r="B8110" t="str">
        <f>T("   PAPIER GOMME OU ADHESIF, EN BANDES OU EN ROULEAUX AUTO-ADHÉSIFS D'UNE LARGEUR =&lt; 15 CM")</f>
        <v xml:space="preserve">   PAPIER GOMME OU ADHESIF, EN BANDES OU EN ROULEAUX AUTO-ADHÉSIFS D'UNE LARGEUR =&lt; 15 CM</v>
      </c>
      <c r="C8110">
        <v>23028380</v>
      </c>
      <c r="D8110">
        <v>39353</v>
      </c>
    </row>
    <row r="8111" spans="1:4" x14ac:dyDescent="0.25">
      <c r="A8111" t="str">
        <f>T("   490199")</f>
        <v xml:space="preserve">   490199</v>
      </c>
      <c r="B811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111">
        <v>59589000</v>
      </c>
      <c r="D8111">
        <v>36435</v>
      </c>
    </row>
    <row r="8112" spans="1:4" x14ac:dyDescent="0.25">
      <c r="A8112" t="str">
        <f>T("   491000")</f>
        <v xml:space="preserve">   491000</v>
      </c>
      <c r="B8112" t="str">
        <f>T("   Calendriers de tous genres, imprimés, y.c. les blocs de calendriers à effeuiller")</f>
        <v xml:space="preserve">   Calendriers de tous genres, imprimés, y.c. les blocs de calendriers à effeuiller</v>
      </c>
      <c r="C8112">
        <v>112000</v>
      </c>
      <c r="D8112">
        <v>200</v>
      </c>
    </row>
    <row r="8113" spans="1:4" x14ac:dyDescent="0.25">
      <c r="A8113" t="str">
        <f>T("   491110")</f>
        <v xml:space="preserve">   491110</v>
      </c>
      <c r="B8113" t="str">
        <f>T("   Imprimés publicitaires, catalogues commerciaux et simil.")</f>
        <v xml:space="preserve">   Imprimés publicitaires, catalogues commerciaux et simil.</v>
      </c>
      <c r="C8113">
        <v>1558500</v>
      </c>
      <c r="D8113">
        <v>7200</v>
      </c>
    </row>
    <row r="8114" spans="1:4" x14ac:dyDescent="0.25">
      <c r="A8114" t="str">
        <f>T("   491191")</f>
        <v xml:space="preserve">   491191</v>
      </c>
      <c r="B8114" t="str">
        <f>T("   Images, gravures et photographies, n.d.a.")</f>
        <v xml:space="preserve">   Images, gravures et photographies, n.d.a.</v>
      </c>
      <c r="C8114">
        <v>150295</v>
      </c>
      <c r="D8114">
        <v>235</v>
      </c>
    </row>
    <row r="8115" spans="1:4" x14ac:dyDescent="0.25">
      <c r="A8115" t="str">
        <f>T("   491199")</f>
        <v xml:space="preserve">   491199</v>
      </c>
      <c r="B8115" t="str">
        <f>T("   Imprimés, n.d.a.")</f>
        <v xml:space="preserve">   Imprimés, n.d.a.</v>
      </c>
      <c r="C8115">
        <v>66969600</v>
      </c>
      <c r="D8115">
        <v>16240</v>
      </c>
    </row>
    <row r="8116" spans="1:4" x14ac:dyDescent="0.25">
      <c r="A8116" t="str">
        <f>T("   510910")</f>
        <v xml:space="preserve">   510910</v>
      </c>
      <c r="B8116" t="str">
        <f>T("   Fils de laine ou de poils fins, contenant &gt;= 85% en poids de laine ou de poils fins, conditionnés pour la vente au détail")</f>
        <v xml:space="preserve">   Fils de laine ou de poils fins, contenant &gt;= 85% en poids de laine ou de poils fins, conditionnés pour la vente au détail</v>
      </c>
      <c r="C8116">
        <v>58185</v>
      </c>
      <c r="D8116">
        <v>30</v>
      </c>
    </row>
    <row r="8117" spans="1:4" x14ac:dyDescent="0.25">
      <c r="A8117" t="str">
        <f>T("   520300")</f>
        <v xml:space="preserve">   520300</v>
      </c>
      <c r="B8117" t="str">
        <f>T("   Coton, cardé ou peigné")</f>
        <v xml:space="preserve">   Coton, cardé ou peigné</v>
      </c>
      <c r="C8117">
        <v>192000</v>
      </c>
      <c r="D8117">
        <v>320</v>
      </c>
    </row>
    <row r="8118" spans="1:4" x14ac:dyDescent="0.25">
      <c r="A8118" t="str">
        <f>T("   520420")</f>
        <v xml:space="preserve">   520420</v>
      </c>
      <c r="B8118" t="str">
        <f>T("   Fils à coudre de coton, conditionnés pour la vente au détail")</f>
        <v xml:space="preserve">   Fils à coudre de coton, conditionnés pour la vente au détail</v>
      </c>
      <c r="C8118">
        <v>331720</v>
      </c>
      <c r="D8118">
        <v>383</v>
      </c>
    </row>
    <row r="8119" spans="1:4" x14ac:dyDescent="0.25">
      <c r="A8119" t="str">
        <f>T("   520790")</f>
        <v xml:space="preserve">   520790</v>
      </c>
      <c r="B8119"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8119">
        <v>15715218</v>
      </c>
      <c r="D8119">
        <v>39413</v>
      </c>
    </row>
    <row r="8120" spans="1:4" x14ac:dyDescent="0.25">
      <c r="A8120" t="str">
        <f>T("   520852")</f>
        <v xml:space="preserve">   520852</v>
      </c>
      <c r="B8120" t="str">
        <f>T("   Tissus de coton, imprimés, à armure toile, contenant &gt;= 85% en poids de coton, d'un poids &gt; 100 g/m² mais &lt;= 200 g/m²")</f>
        <v xml:space="preserve">   Tissus de coton, imprimés, à armure toile, contenant &gt;= 85% en poids de coton, d'un poids &gt; 100 g/m² mais &lt;= 200 g/m²</v>
      </c>
      <c r="C8120">
        <v>11308384</v>
      </c>
      <c r="D8120">
        <v>2564</v>
      </c>
    </row>
    <row r="8121" spans="1:4" x14ac:dyDescent="0.25">
      <c r="A8121" t="str">
        <f>T("   520859")</f>
        <v xml:space="preserve">   520859</v>
      </c>
      <c r="B8121" t="str">
        <f>T("   TISSUS DE COTON, IMPRIMÉS, CONTENANT &gt;= 85% EN POIDS DE COTON, D'UN POIDS &lt;= 200 G/M² (À L'EXCL. DES TISSUS À ARMURE TOILE)")</f>
        <v xml:space="preserve">   TISSUS DE COTON, IMPRIMÉS, CONTENANT &gt;= 85% EN POIDS DE COTON, D'UN POIDS &lt;= 200 G/M² (À L'EXCL. DES TISSUS À ARMURE TOILE)</v>
      </c>
      <c r="C8121">
        <v>998000</v>
      </c>
      <c r="D8121">
        <v>1175</v>
      </c>
    </row>
    <row r="8122" spans="1:4" x14ac:dyDescent="0.25">
      <c r="A8122" t="str">
        <f>T("   520951")</f>
        <v xml:space="preserve">   520951</v>
      </c>
      <c r="B8122" t="str">
        <f>T("   Tissus de coton, imprimés, à armure toile, contenant &gt;= 85% en poids de coton, d'un poids &gt; 200 g/m²")</f>
        <v xml:space="preserve">   Tissus de coton, imprimés, à armure toile, contenant &gt;= 85% en poids de coton, d'un poids &gt; 200 g/m²</v>
      </c>
      <c r="C8122">
        <v>19785</v>
      </c>
      <c r="D8122">
        <v>50</v>
      </c>
    </row>
    <row r="8123" spans="1:4" x14ac:dyDescent="0.25">
      <c r="A8123" t="str">
        <f>T("   521141")</f>
        <v xml:space="preserve">   521141</v>
      </c>
      <c r="B8123" t="str">
        <f>T("   Tissus de coton, en fils de diverses couleurs, à armure toile, contenant en prédominance, mais &lt; 85% en poids de coton, mélangés principalement ou uniquement avec des fibres synthétiques ou artificielles, d'un poids &gt; 200 g/m²")</f>
        <v xml:space="preserve">   Tissus de coton, en fils de diverses couleurs, à armure toile, contenant en prédominance, mais &lt; 85% en poids de coton, mélangés principalement ou uniquement avec des fibres synthétiques ou artificielles, d'un poids &gt; 200 g/m²</v>
      </c>
      <c r="C8123">
        <v>126000</v>
      </c>
      <c r="D8123">
        <v>210</v>
      </c>
    </row>
    <row r="8124" spans="1:4" x14ac:dyDescent="0.25">
      <c r="A8124" t="str">
        <f>T("   521159")</f>
        <v xml:space="preserve">   521159</v>
      </c>
      <c r="B8124" t="s">
        <v>242</v>
      </c>
      <c r="C8124">
        <v>630000</v>
      </c>
      <c r="D8124">
        <v>700</v>
      </c>
    </row>
    <row r="8125" spans="1:4" x14ac:dyDescent="0.25">
      <c r="A8125" t="str">
        <f>T("   521214")</f>
        <v xml:space="preserve">   521214</v>
      </c>
      <c r="B8125"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8125">
        <v>16305600</v>
      </c>
      <c r="D8125">
        <v>13618</v>
      </c>
    </row>
    <row r="8126" spans="1:4" x14ac:dyDescent="0.25">
      <c r="A8126" t="str">
        <f>T("   540620")</f>
        <v xml:space="preserve">   540620</v>
      </c>
      <c r="B8126" t="str">
        <f>T("   Fils de filaments artificiels, conditionnés pour la vente au détail (à l'excl. des fils à coudre)")</f>
        <v xml:space="preserve">   Fils de filaments artificiels, conditionnés pour la vente au détail (à l'excl. des fils à coudre)</v>
      </c>
      <c r="C8126">
        <v>115500</v>
      </c>
      <c r="D8126">
        <v>105</v>
      </c>
    </row>
    <row r="8127" spans="1:4" x14ac:dyDescent="0.25">
      <c r="A8127" t="str">
        <f>T("   551219")</f>
        <v xml:space="preserve">   551219</v>
      </c>
      <c r="B8127"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8127">
        <v>567000</v>
      </c>
      <c r="D8127">
        <v>375</v>
      </c>
    </row>
    <row r="8128" spans="1:4" x14ac:dyDescent="0.25">
      <c r="A8128" t="str">
        <f>T("   551443")</f>
        <v xml:space="preserve">   551443</v>
      </c>
      <c r="B8128" t="s">
        <v>253</v>
      </c>
      <c r="C8128">
        <v>26186200</v>
      </c>
      <c r="D8128">
        <v>51540</v>
      </c>
    </row>
    <row r="8129" spans="1:4" x14ac:dyDescent="0.25">
      <c r="A8129" t="str">
        <f>T("   551529")</f>
        <v xml:space="preserve">   551529</v>
      </c>
      <c r="B8129" t="s">
        <v>255</v>
      </c>
      <c r="C8129">
        <v>4422000</v>
      </c>
      <c r="D8129">
        <v>5358</v>
      </c>
    </row>
    <row r="8130" spans="1:4" x14ac:dyDescent="0.25">
      <c r="A8130" t="str">
        <f>T("   551599")</f>
        <v xml:space="preserve">   551599</v>
      </c>
      <c r="B8130" t="s">
        <v>257</v>
      </c>
      <c r="C8130">
        <v>1523950</v>
      </c>
      <c r="D8130">
        <v>2680</v>
      </c>
    </row>
    <row r="8131" spans="1:4" x14ac:dyDescent="0.25">
      <c r="A8131" t="str">
        <f>T("   560129")</f>
        <v xml:space="preserve">   560129</v>
      </c>
      <c r="B8131" t="s">
        <v>261</v>
      </c>
      <c r="C8131">
        <v>30500</v>
      </c>
      <c r="D8131">
        <v>61</v>
      </c>
    </row>
    <row r="8132" spans="1:4" x14ac:dyDescent="0.25">
      <c r="A8132" t="str">
        <f>T("   560420")</f>
        <v xml:space="preserve">   560420</v>
      </c>
      <c r="B8132" t="str">
        <f>T("   Fils à haute ténacité de polyesters, de nylon ou d'autres polyamides ou de rayonne viscose, imprégnés ou enduits de caoutchouc ou de matière plastique")</f>
        <v xml:space="preserve">   Fils à haute ténacité de polyesters, de nylon ou d'autres polyamides ou de rayonne viscose, imprégnés ou enduits de caoutchouc ou de matière plastique</v>
      </c>
      <c r="C8132">
        <v>100100</v>
      </c>
      <c r="D8132">
        <v>286</v>
      </c>
    </row>
    <row r="8133" spans="1:4" x14ac:dyDescent="0.25">
      <c r="A8133" t="str">
        <f>T("   560490")</f>
        <v xml:space="preserve">   560490</v>
      </c>
      <c r="B8133"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8133">
        <v>17251850</v>
      </c>
      <c r="D8133">
        <v>49246</v>
      </c>
    </row>
    <row r="8134" spans="1:4" x14ac:dyDescent="0.25">
      <c r="A8134" t="str">
        <f>T("   560811")</f>
        <v xml:space="preserve">   560811</v>
      </c>
      <c r="B8134"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8134">
        <v>218500</v>
      </c>
      <c r="D8134">
        <v>454</v>
      </c>
    </row>
    <row r="8135" spans="1:4" x14ac:dyDescent="0.25">
      <c r="A8135" t="str">
        <f>T("   560819")</f>
        <v xml:space="preserve">   560819</v>
      </c>
      <c r="B8135" t="s">
        <v>262</v>
      </c>
      <c r="C8135">
        <v>36000</v>
      </c>
      <c r="D8135">
        <v>180</v>
      </c>
    </row>
    <row r="8136" spans="1:4" x14ac:dyDescent="0.25">
      <c r="A8136" t="str">
        <f>T("   570390")</f>
        <v xml:space="preserve">   570390</v>
      </c>
      <c r="B8136"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136">
        <v>93500</v>
      </c>
      <c r="D8136">
        <v>100</v>
      </c>
    </row>
    <row r="8137" spans="1:4" x14ac:dyDescent="0.25">
      <c r="A8137" t="str">
        <f>T("   580620")</f>
        <v xml:space="preserve">   580620</v>
      </c>
      <c r="B8137" t="s">
        <v>268</v>
      </c>
      <c r="C8137">
        <v>73500</v>
      </c>
      <c r="D8137">
        <v>50</v>
      </c>
    </row>
    <row r="8138" spans="1:4" x14ac:dyDescent="0.25">
      <c r="A8138" t="str">
        <f>T("   580640")</f>
        <v xml:space="preserve">   580640</v>
      </c>
      <c r="B8138" t="str">
        <f>T("   Rubans sans trame, en fils ou fibres parallélisés et encollés [bolducs]")</f>
        <v xml:space="preserve">   Rubans sans trame, en fils ou fibres parallélisés et encollés [bolducs]</v>
      </c>
      <c r="C8138">
        <v>176500</v>
      </c>
      <c r="D8138">
        <v>100</v>
      </c>
    </row>
    <row r="8139" spans="1:4" x14ac:dyDescent="0.25">
      <c r="A8139" t="str">
        <f>T("   590190")</f>
        <v xml:space="preserve">   590190</v>
      </c>
      <c r="B8139"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8139">
        <v>87016200</v>
      </c>
      <c r="D8139">
        <v>109892</v>
      </c>
    </row>
    <row r="8140" spans="1:4" x14ac:dyDescent="0.25">
      <c r="A8140" t="str">
        <f>T("   610910")</f>
        <v xml:space="preserve">   610910</v>
      </c>
      <c r="B8140" t="str">
        <f>T("   T-shirts et maillots de corps, en bonneterie, de coton,")</f>
        <v xml:space="preserve">   T-shirts et maillots de corps, en bonneterie, de coton,</v>
      </c>
      <c r="C8140">
        <v>4299400</v>
      </c>
      <c r="D8140">
        <v>7229</v>
      </c>
    </row>
    <row r="8141" spans="1:4" x14ac:dyDescent="0.25">
      <c r="A8141" t="str">
        <f>T("   611610")</f>
        <v xml:space="preserve">   611610</v>
      </c>
      <c r="B8141"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8141">
        <v>35000</v>
      </c>
      <c r="D8141">
        <v>70</v>
      </c>
    </row>
    <row r="8142" spans="1:4" x14ac:dyDescent="0.25">
      <c r="A8142" t="str">
        <f>T("   621040")</f>
        <v xml:space="preserve">   621040</v>
      </c>
      <c r="B8142" t="s">
        <v>294</v>
      </c>
      <c r="C8142">
        <v>191015</v>
      </c>
      <c r="D8142">
        <v>90</v>
      </c>
    </row>
    <row r="8143" spans="1:4" x14ac:dyDescent="0.25">
      <c r="A8143" t="str">
        <f>T("   621390")</f>
        <v xml:space="preserve">   621390</v>
      </c>
      <c r="B8143"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8143">
        <v>45000</v>
      </c>
      <c r="D8143">
        <v>90</v>
      </c>
    </row>
    <row r="8144" spans="1:4" x14ac:dyDescent="0.25">
      <c r="A8144" t="str">
        <f>T("   630231")</f>
        <v xml:space="preserve">   630231</v>
      </c>
      <c r="B8144" t="str">
        <f>T("   Linge de lit de coton (autre qu'imprimé, autre qu'en bonneterie)")</f>
        <v xml:space="preserve">   Linge de lit de coton (autre qu'imprimé, autre qu'en bonneterie)</v>
      </c>
      <c r="C8144">
        <v>192000</v>
      </c>
      <c r="D8144">
        <v>60</v>
      </c>
    </row>
    <row r="8145" spans="1:4" x14ac:dyDescent="0.25">
      <c r="A8145" t="str">
        <f>T("   630232")</f>
        <v xml:space="preserve">   630232</v>
      </c>
      <c r="B8145" t="str">
        <f>T("   Linge de lit de fibres synthétiques ou artificielles (autre qu'imprimé, autre qu'en bonneterie)")</f>
        <v xml:space="preserve">   Linge de lit de fibres synthétiques ou artificielles (autre qu'imprimé, autre qu'en bonneterie)</v>
      </c>
      <c r="C8145">
        <v>210000</v>
      </c>
      <c r="D8145">
        <v>200</v>
      </c>
    </row>
    <row r="8146" spans="1:4" x14ac:dyDescent="0.25">
      <c r="A8146" t="str">
        <f>T("   630259")</f>
        <v xml:space="preserve">   630259</v>
      </c>
      <c r="B8146" t="str">
        <f>T("   LINGE DE TABLE DE MATIÈRES TEXTILES (AUTRE QUE DE COTON, FIBRES SYNTHÉTIQUES OU ARTIFICIELLES, AUTRE QU'EN BONNETERIE)")</f>
        <v xml:space="preserve">   LINGE DE TABLE DE MATIÈRES TEXTILES (AUTRE QUE DE COTON, FIBRES SYNTHÉTIQUES OU ARTIFICIELLES, AUTRE QU'EN BONNETERIE)</v>
      </c>
      <c r="C8146">
        <v>246000</v>
      </c>
      <c r="D8146">
        <v>410</v>
      </c>
    </row>
    <row r="8147" spans="1:4" x14ac:dyDescent="0.25">
      <c r="A8147" t="str">
        <f>T("   630260")</f>
        <v xml:space="preserve">   630260</v>
      </c>
      <c r="B8147"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8147">
        <v>140000</v>
      </c>
      <c r="D8147">
        <v>145</v>
      </c>
    </row>
    <row r="8148" spans="1:4" x14ac:dyDescent="0.25">
      <c r="A8148" t="str">
        <f>T("   630491")</f>
        <v xml:space="preserve">   630491</v>
      </c>
      <c r="B8148" t="s">
        <v>298</v>
      </c>
      <c r="C8148">
        <v>3531200</v>
      </c>
      <c r="D8148">
        <v>685</v>
      </c>
    </row>
    <row r="8149" spans="1:4" x14ac:dyDescent="0.25">
      <c r="A8149" t="str">
        <f>T("   630510")</f>
        <v xml:space="preserve">   630510</v>
      </c>
      <c r="B8149" t="str">
        <f>T("   Sacs et sachets d'emballage de jute ou d'autres fibres textiles libériennes du n° 5303")</f>
        <v xml:space="preserve">   Sacs et sachets d'emballage de jute ou d'autres fibres textiles libériennes du n° 5303</v>
      </c>
      <c r="C8149">
        <v>8071100</v>
      </c>
      <c r="D8149">
        <v>65010</v>
      </c>
    </row>
    <row r="8150" spans="1:4" x14ac:dyDescent="0.25">
      <c r="A8150" t="str">
        <f>T("   630533")</f>
        <v xml:space="preserve">   630533</v>
      </c>
      <c r="B8150"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8150">
        <v>13374144</v>
      </c>
      <c r="D8150">
        <v>53690</v>
      </c>
    </row>
    <row r="8151" spans="1:4" x14ac:dyDescent="0.25">
      <c r="A8151" t="str">
        <f>T("   630612")</f>
        <v xml:space="preserve">   630612</v>
      </c>
      <c r="B8151"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8151">
        <v>665000</v>
      </c>
      <c r="D8151">
        <v>266</v>
      </c>
    </row>
    <row r="8152" spans="1:4" x14ac:dyDescent="0.25">
      <c r="A8152" t="str">
        <f>T("   630619")</f>
        <v xml:space="preserve">   630619</v>
      </c>
      <c r="B8152"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8152">
        <v>8290900</v>
      </c>
      <c r="D8152">
        <v>7939</v>
      </c>
    </row>
    <row r="8153" spans="1:4" x14ac:dyDescent="0.25">
      <c r="A8153" t="str">
        <f>T("   630629")</f>
        <v xml:space="preserve">   630629</v>
      </c>
      <c r="B8153" t="str">
        <f>T("   Tentes de matières textiles (autres que de coton ou fibres synthétiques et sauf paravents)")</f>
        <v xml:space="preserve">   Tentes de matières textiles (autres que de coton ou fibres synthétiques et sauf paravents)</v>
      </c>
      <c r="C8153">
        <v>82500</v>
      </c>
      <c r="D8153">
        <v>75</v>
      </c>
    </row>
    <row r="8154" spans="1:4" x14ac:dyDescent="0.25">
      <c r="A8154" t="str">
        <f>T("   630710")</f>
        <v xml:space="preserve">   630710</v>
      </c>
      <c r="B8154" t="str">
        <f>T("   Serpillières ou wassingues, lavettes, chamoisettes et articles d'entretien simil. en tous types de matières textiles")</f>
        <v xml:space="preserve">   Serpillières ou wassingues, lavettes, chamoisettes et articles d'entretien simil. en tous types de matières textiles</v>
      </c>
      <c r="C8154">
        <v>1550000</v>
      </c>
      <c r="D8154">
        <v>775</v>
      </c>
    </row>
    <row r="8155" spans="1:4" x14ac:dyDescent="0.25">
      <c r="A8155" t="str">
        <f>T("   630900")</f>
        <v xml:space="preserve">   630900</v>
      </c>
      <c r="B8155" t="s">
        <v>300</v>
      </c>
      <c r="C8155">
        <v>13903991</v>
      </c>
      <c r="D8155">
        <v>20423</v>
      </c>
    </row>
    <row r="8156" spans="1:4" x14ac:dyDescent="0.25">
      <c r="A8156" t="str">
        <f>T("   631010")</f>
        <v xml:space="preserve">   631010</v>
      </c>
      <c r="B8156" t="str">
        <f>T("   Chiffons en tous types de matières textiles ainsi que ficelles, cordes et cordages et articles composés de ceux-ci, de matières textiles, sous forme de déchets ou d'articles hors d'usage, triés")</f>
        <v xml:space="preserve">   Chiffons en tous types de matières textiles ainsi que ficelles, cordes et cordages et articles composés de ceux-ci, de matières textiles, sous forme de déchets ou d'articles hors d'usage, triés</v>
      </c>
      <c r="C8156">
        <v>14280</v>
      </c>
      <c r="D8156">
        <v>28</v>
      </c>
    </row>
    <row r="8157" spans="1:4" x14ac:dyDescent="0.25">
      <c r="A8157" t="str">
        <f>T("   640220")</f>
        <v xml:space="preserve">   640220</v>
      </c>
      <c r="B8157"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8157">
        <v>21479015</v>
      </c>
      <c r="D8157">
        <v>49870</v>
      </c>
    </row>
    <row r="8158" spans="1:4" x14ac:dyDescent="0.25">
      <c r="A8158" t="str">
        <f>T("   640419")</f>
        <v xml:space="preserve">   640419</v>
      </c>
      <c r="B8158" t="s">
        <v>310</v>
      </c>
      <c r="C8158">
        <v>468940</v>
      </c>
      <c r="D8158">
        <v>976</v>
      </c>
    </row>
    <row r="8159" spans="1:4" x14ac:dyDescent="0.25">
      <c r="A8159" t="str">
        <f>T("   640590")</f>
        <v xml:space="preserve">   640590</v>
      </c>
      <c r="B8159" t="s">
        <v>311</v>
      </c>
      <c r="C8159">
        <v>62419983</v>
      </c>
      <c r="D8159">
        <v>65913</v>
      </c>
    </row>
    <row r="8160" spans="1:4" x14ac:dyDescent="0.25">
      <c r="A8160" t="str">
        <f>T("   640620")</f>
        <v xml:space="preserve">   640620</v>
      </c>
      <c r="B8160" t="str">
        <f>T("   Semelles extérieures et talons de chaussures, en caoutchouc ou en matière plastique")</f>
        <v xml:space="preserve">   Semelles extérieures et talons de chaussures, en caoutchouc ou en matière plastique</v>
      </c>
      <c r="C8160">
        <v>1115400</v>
      </c>
      <c r="D8160">
        <v>3718</v>
      </c>
    </row>
    <row r="8161" spans="1:4" x14ac:dyDescent="0.25">
      <c r="A8161" t="str">
        <f>T("   640699")</f>
        <v xml:space="preserve">   640699</v>
      </c>
      <c r="B8161" t="str">
        <f>T("   Parties de chaussures (sauf semelles extérieures et talons en caoutchouc ou matière plastique, dessus de chaussures et leurs parties et sauf parties en général en bois ou en amiante)")</f>
        <v xml:space="preserve">   Parties de chaussures (sauf semelles extérieures et talons en caoutchouc ou matière plastique, dessus de chaussures et leurs parties et sauf parties en général en bois ou en amiante)</v>
      </c>
      <c r="C8161">
        <v>605900</v>
      </c>
      <c r="D8161">
        <v>883</v>
      </c>
    </row>
    <row r="8162" spans="1:4" x14ac:dyDescent="0.25">
      <c r="A8162" t="str">
        <f>T("   650400")</f>
        <v xml:space="preserve">   650400</v>
      </c>
      <c r="B8162"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8162">
        <v>67000</v>
      </c>
      <c r="D8162">
        <v>134</v>
      </c>
    </row>
    <row r="8163" spans="1:4" x14ac:dyDescent="0.25">
      <c r="A8163" t="str">
        <f>T("   650510")</f>
        <v xml:space="preserve">   650510</v>
      </c>
      <c r="B8163" t="str">
        <f>T("   Résilles et filets à cheveux en toutes matières, même garnis")</f>
        <v xml:space="preserve">   Résilles et filets à cheveux en toutes matières, même garnis</v>
      </c>
      <c r="C8163">
        <v>94500</v>
      </c>
      <c r="D8163">
        <v>180</v>
      </c>
    </row>
    <row r="8164" spans="1:4" x14ac:dyDescent="0.25">
      <c r="A8164" t="str">
        <f>T("   650610")</f>
        <v xml:space="preserve">   650610</v>
      </c>
      <c r="B8164" t="str">
        <f>T("   Coiffures de sécurité, même garnies")</f>
        <v xml:space="preserve">   Coiffures de sécurité, même garnies</v>
      </c>
      <c r="C8164">
        <v>16500</v>
      </c>
      <c r="D8164">
        <v>15</v>
      </c>
    </row>
    <row r="8165" spans="1:4" x14ac:dyDescent="0.25">
      <c r="A8165" t="str">
        <f>T("   650699")</f>
        <v xml:space="preserve">   650699</v>
      </c>
      <c r="B8165" t="str">
        <f>T("   Chapeaux et autres coiffures, même garnis, n.d.a.")</f>
        <v xml:space="preserve">   Chapeaux et autres coiffures, même garnis, n.d.a.</v>
      </c>
      <c r="C8165">
        <v>25000</v>
      </c>
      <c r="D8165">
        <v>48</v>
      </c>
    </row>
    <row r="8166" spans="1:4" x14ac:dyDescent="0.25">
      <c r="A8166" t="str">
        <f>T("   670290")</f>
        <v xml:space="preserve">   670290</v>
      </c>
      <c r="B8166"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8166">
        <v>29900</v>
      </c>
      <c r="D8166">
        <v>50</v>
      </c>
    </row>
    <row r="8167" spans="1:4" x14ac:dyDescent="0.25">
      <c r="A8167" t="str">
        <f>T("   670419")</f>
        <v xml:space="preserve">   670419</v>
      </c>
      <c r="B8167" t="str">
        <f>T("   Barbes, sourcils, cils, mèches et articles simil., en matières textiles synthétiques (sauf perruques complètes)")</f>
        <v xml:space="preserve">   Barbes, sourcils, cils, mèches et articles simil., en matières textiles synthétiques (sauf perruques complètes)</v>
      </c>
      <c r="C8167">
        <v>70110600</v>
      </c>
      <c r="D8167">
        <v>76187</v>
      </c>
    </row>
    <row r="8168" spans="1:4" x14ac:dyDescent="0.25">
      <c r="A8168" t="str">
        <f>T("   670420")</f>
        <v xml:space="preserve">   670420</v>
      </c>
      <c r="B8168" t="str">
        <f>T("   Perruques, barbes, sourcils, cils, mèches et articles simil., en cheveux; ouvrages en cheveux n.d.a.")</f>
        <v xml:space="preserve">   Perruques, barbes, sourcils, cils, mèches et articles simil., en cheveux; ouvrages en cheveux n.d.a.</v>
      </c>
      <c r="C8168">
        <v>343000</v>
      </c>
      <c r="D8168">
        <v>400</v>
      </c>
    </row>
    <row r="8169" spans="1:4" x14ac:dyDescent="0.25">
      <c r="A8169" t="str">
        <f>T("   680990")</f>
        <v xml:space="preserve">   680990</v>
      </c>
      <c r="B8169" t="s">
        <v>326</v>
      </c>
      <c r="C8169">
        <v>8415450</v>
      </c>
      <c r="D8169">
        <v>23967</v>
      </c>
    </row>
    <row r="8170" spans="1:4" x14ac:dyDescent="0.25">
      <c r="A8170" t="str">
        <f>T("   681110")</f>
        <v xml:space="preserve">   681110</v>
      </c>
      <c r="B8170" t="str">
        <f>T("   Plaques ondulées en amiante-ciment, cellulose-ciment ou simil.")</f>
        <v xml:space="preserve">   Plaques ondulées en amiante-ciment, cellulose-ciment ou simil.</v>
      </c>
      <c r="C8170">
        <v>100191937</v>
      </c>
      <c r="D8170">
        <v>300000</v>
      </c>
    </row>
    <row r="8171" spans="1:4" x14ac:dyDescent="0.25">
      <c r="A8171" t="str">
        <f>T("   681120")</f>
        <v xml:space="preserve">   681120</v>
      </c>
      <c r="B8171" t="str">
        <f>T("   Plaques, panneaux, carreaux, tuiles et articles simil., en amiante-ciment, cellulose-ciment ou simil. (sauf plaques ondulées)")</f>
        <v xml:space="preserve">   Plaques, panneaux, carreaux, tuiles et articles simil., en amiante-ciment, cellulose-ciment ou simil. (sauf plaques ondulées)</v>
      </c>
      <c r="C8171">
        <v>534000</v>
      </c>
      <c r="D8171">
        <v>720</v>
      </c>
    </row>
    <row r="8172" spans="1:4" x14ac:dyDescent="0.25">
      <c r="A8172" t="str">
        <f>T("   690810")</f>
        <v xml:space="preserve">   690810</v>
      </c>
      <c r="B8172"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8172">
        <v>1357400</v>
      </c>
      <c r="D8172">
        <v>20565</v>
      </c>
    </row>
    <row r="8173" spans="1:4" x14ac:dyDescent="0.25">
      <c r="A8173" t="str">
        <f>T("   691010")</f>
        <v xml:space="preserve">   691010</v>
      </c>
      <c r="B8173" t="s">
        <v>338</v>
      </c>
      <c r="C8173">
        <v>200186</v>
      </c>
      <c r="D8173">
        <v>187</v>
      </c>
    </row>
    <row r="8174" spans="1:4" x14ac:dyDescent="0.25">
      <c r="A8174" t="str">
        <f>T("   691090")</f>
        <v xml:space="preserve">   691090</v>
      </c>
      <c r="B8174" t="s">
        <v>339</v>
      </c>
      <c r="C8174">
        <v>650000</v>
      </c>
      <c r="D8174">
        <v>800</v>
      </c>
    </row>
    <row r="8175" spans="1:4" x14ac:dyDescent="0.25">
      <c r="A8175" t="str">
        <f>T("   691110")</f>
        <v xml:space="preserve">   691110</v>
      </c>
      <c r="B8175" t="s">
        <v>340</v>
      </c>
      <c r="C8175">
        <v>60000</v>
      </c>
      <c r="D8175">
        <v>40</v>
      </c>
    </row>
    <row r="8176" spans="1:4" x14ac:dyDescent="0.25">
      <c r="A8176" t="str">
        <f>T("   691200")</f>
        <v xml:space="preserve">   691200</v>
      </c>
      <c r="B8176" t="s">
        <v>342</v>
      </c>
      <c r="C8176">
        <v>254500</v>
      </c>
      <c r="D8176">
        <v>245</v>
      </c>
    </row>
    <row r="8177" spans="1:4" x14ac:dyDescent="0.25">
      <c r="A8177" t="str">
        <f>T("   700319")</f>
        <v xml:space="preserve">   700319</v>
      </c>
      <c r="B8177"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8177">
        <v>604000</v>
      </c>
      <c r="D8177">
        <v>1208</v>
      </c>
    </row>
    <row r="8178" spans="1:4" x14ac:dyDescent="0.25">
      <c r="A8178" t="str">
        <f>T("   700420")</f>
        <v xml:space="preserve">   700420</v>
      </c>
      <c r="B8178" t="str">
        <f>T("   FEUILLES EN VERRE ÉTIRÉ OU SOUFFLÉ, COLORÉ DANS LA MASSE, OPACIFIÉ, PLAQUÉ [DOUBLÉES], OU À COUCHE ABSORBANTE, RÉFLÉCHISSANTE OU NON-RÉFLÉCHISSANTE, MAIS NON AUTREMENT TRAVAILLÉ")</f>
        <v xml:space="preserve">   FEUILLES EN VERRE ÉTIRÉ OU SOUFFLÉ, COLORÉ DANS LA MASSE, OPACIFIÉ, PLAQUÉ [DOUBLÉES], OU À COUCHE ABSORBANTE, RÉFLÉCHISSANTE OU NON-RÉFLÉCHISSANTE, MAIS NON AUTREMENT TRAVAILLÉ</v>
      </c>
      <c r="C8178">
        <v>644865</v>
      </c>
      <c r="D8178">
        <v>700</v>
      </c>
    </row>
    <row r="8179" spans="1:4" x14ac:dyDescent="0.25">
      <c r="A8179" t="str">
        <f>T("   700510")</f>
        <v xml:space="preserve">   700510</v>
      </c>
      <c r="B8179"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8179">
        <v>37500</v>
      </c>
      <c r="D8179">
        <v>150</v>
      </c>
    </row>
    <row r="8180" spans="1:4" x14ac:dyDescent="0.25">
      <c r="A8180" t="str">
        <f>T("   700529")</f>
        <v xml:space="preserve">   700529</v>
      </c>
      <c r="B8180" t="s">
        <v>343</v>
      </c>
      <c r="C8180">
        <v>47316500</v>
      </c>
      <c r="D8180">
        <v>128899</v>
      </c>
    </row>
    <row r="8181" spans="1:4" x14ac:dyDescent="0.25">
      <c r="A8181" t="str">
        <f>T("   700711")</f>
        <v xml:space="preserve">   700711</v>
      </c>
      <c r="B8181"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8181">
        <v>8383000</v>
      </c>
      <c r="D8181">
        <v>13640</v>
      </c>
    </row>
    <row r="8182" spans="1:4" x14ac:dyDescent="0.25">
      <c r="A8182" t="str">
        <f>T("   700719")</f>
        <v xml:space="preserve">   700719</v>
      </c>
      <c r="B8182" t="s">
        <v>345</v>
      </c>
      <c r="C8182">
        <v>25000</v>
      </c>
      <c r="D8182">
        <v>100</v>
      </c>
    </row>
    <row r="8183" spans="1:4" x14ac:dyDescent="0.25">
      <c r="A8183" t="str">
        <f>T("   700721")</f>
        <v xml:space="preserve">   700721</v>
      </c>
      <c r="B8183" t="s">
        <v>346</v>
      </c>
      <c r="C8183">
        <v>336000</v>
      </c>
      <c r="D8183">
        <v>500</v>
      </c>
    </row>
    <row r="8184" spans="1:4" x14ac:dyDescent="0.25">
      <c r="A8184" t="str">
        <f>T("   700991")</f>
        <v xml:space="preserve">   700991</v>
      </c>
      <c r="B8184"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8184">
        <v>39200</v>
      </c>
      <c r="D8184">
        <v>112</v>
      </c>
    </row>
    <row r="8185" spans="1:4" x14ac:dyDescent="0.25">
      <c r="A8185" t="str">
        <f>T("   701090")</f>
        <v xml:space="preserve">   701090</v>
      </c>
      <c r="B8185" t="s">
        <v>348</v>
      </c>
      <c r="C8185">
        <v>41645589</v>
      </c>
      <c r="D8185">
        <v>99160</v>
      </c>
    </row>
    <row r="8186" spans="1:4" x14ac:dyDescent="0.25">
      <c r="A8186" t="str">
        <f>T("   701092")</f>
        <v xml:space="preserve">   701092</v>
      </c>
      <c r="B8186" t="s">
        <v>349</v>
      </c>
      <c r="C8186">
        <v>12340500</v>
      </c>
      <c r="D8186">
        <v>269250</v>
      </c>
    </row>
    <row r="8187" spans="1:4" x14ac:dyDescent="0.25">
      <c r="A8187" t="str">
        <f>T("   701329")</f>
        <v xml:space="preserve">   701329</v>
      </c>
      <c r="B8187" t="str">
        <f>T("   Verres à boire (autres qu'en vitrocérame, autres qu'en cristal au plomb)")</f>
        <v xml:space="preserve">   Verres à boire (autres qu'en vitrocérame, autres qu'en cristal au plomb)</v>
      </c>
      <c r="C8187">
        <v>31350240</v>
      </c>
      <c r="D8187">
        <v>89050</v>
      </c>
    </row>
    <row r="8188" spans="1:4" x14ac:dyDescent="0.25">
      <c r="A8188" t="str">
        <f>T("   710122")</f>
        <v xml:space="preserve">   710122</v>
      </c>
      <c r="B8188" t="str">
        <f>T("   Perles de culture, travaillées, même assorties, mais non enfilées, ni montées, ni serties, et perles de culture travaillées enfilées temporairement pour la facilité du transport")</f>
        <v xml:space="preserve">   Perles de culture, travaillées, même assorties, mais non enfilées, ni montées, ni serties, et perles de culture travaillées enfilées temporairement pour la facilité du transport</v>
      </c>
      <c r="C8188">
        <v>101200</v>
      </c>
      <c r="D8188">
        <v>284</v>
      </c>
    </row>
    <row r="8189" spans="1:4" x14ac:dyDescent="0.25">
      <c r="A8189" t="str">
        <f>T("   710813")</f>
        <v xml:space="preserve">   710813</v>
      </c>
      <c r="B8189" t="str">
        <f>T("   OR, Y.C. L'OR PLATINÉ, SOUS FORMES MI-OUVRÉES, À USAGES NON-MONÉTAIRES")</f>
        <v xml:space="preserve">   OR, Y.C. L'OR PLATINÉ, SOUS FORMES MI-OUVRÉES, À USAGES NON-MONÉTAIRES</v>
      </c>
      <c r="C8189">
        <v>1836000</v>
      </c>
      <c r="D8189">
        <v>1</v>
      </c>
    </row>
    <row r="8190" spans="1:4" x14ac:dyDescent="0.25">
      <c r="A8190" t="str">
        <f>T("   711790")</f>
        <v xml:space="preserve">   711790</v>
      </c>
      <c r="B8190" t="str">
        <f>T("   Bijouterie de fantaisie (autre qu'en métaux communs, même argentés, dorés ou platinés)")</f>
        <v xml:space="preserve">   Bijouterie de fantaisie (autre qu'en métaux communs, même argentés, dorés ou platinés)</v>
      </c>
      <c r="C8190">
        <v>51305700</v>
      </c>
      <c r="D8190">
        <v>16023</v>
      </c>
    </row>
    <row r="8191" spans="1:4" x14ac:dyDescent="0.25">
      <c r="A8191" t="str">
        <f>T("   720410")</f>
        <v xml:space="preserve">   720410</v>
      </c>
      <c r="B8191" t="str">
        <f>T("   DÉCHETS ET DÉBRIS DE FONTE -FERRAILLES- (AUTRES QUE RADIOACTIFS)")</f>
        <v xml:space="preserve">   DÉCHETS ET DÉBRIS DE FONTE -FERRAILLES- (AUTRES QUE RADIOACTIFS)</v>
      </c>
      <c r="C8191">
        <v>31316782</v>
      </c>
      <c r="D8191">
        <v>411429</v>
      </c>
    </row>
    <row r="8192" spans="1:4" x14ac:dyDescent="0.25">
      <c r="A8192" t="str">
        <f>T("   721041")</f>
        <v xml:space="preserve">   721041</v>
      </c>
      <c r="B8192"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192">
        <v>314400</v>
      </c>
      <c r="D8192">
        <v>820</v>
      </c>
    </row>
    <row r="8193" spans="1:4" x14ac:dyDescent="0.25">
      <c r="A8193" t="str">
        <f>T("   721090")</f>
        <v xml:space="preserve">   721090</v>
      </c>
      <c r="B8193" t="s">
        <v>364</v>
      </c>
      <c r="C8193">
        <v>77366750</v>
      </c>
      <c r="D8193">
        <v>294190</v>
      </c>
    </row>
    <row r="8194" spans="1:4" x14ac:dyDescent="0.25">
      <c r="A8194" t="str">
        <f>T("   721420")</f>
        <v xml:space="preserve">   721420</v>
      </c>
      <c r="B819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194">
        <v>107054755</v>
      </c>
      <c r="D8194">
        <v>149465</v>
      </c>
    </row>
    <row r="8195" spans="1:4" x14ac:dyDescent="0.25">
      <c r="A8195" t="str">
        <f>T("   721590")</f>
        <v xml:space="preserve">   721590</v>
      </c>
      <c r="B819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195">
        <v>33740450</v>
      </c>
      <c r="D8195">
        <v>137965</v>
      </c>
    </row>
    <row r="8196" spans="1:4" x14ac:dyDescent="0.25">
      <c r="A8196" t="str">
        <f>T("   721631")</f>
        <v xml:space="preserve">   721631</v>
      </c>
      <c r="B8196" t="str">
        <f>T("   PROFILÉS EN U, EN FER OU EN ACIERS NON-ALLIÉS, SIMPL. LAMINÉS OU FILÉS À CHAUD, D'UNE HAUTEUR &gt;= 80 MM")</f>
        <v xml:space="preserve">   PROFILÉS EN U, EN FER OU EN ACIERS NON-ALLIÉS, SIMPL. LAMINÉS OU FILÉS À CHAUD, D'UNE HAUTEUR &gt;= 80 MM</v>
      </c>
      <c r="C8196">
        <v>28308400</v>
      </c>
      <c r="D8196">
        <v>112555</v>
      </c>
    </row>
    <row r="8197" spans="1:4" x14ac:dyDescent="0.25">
      <c r="A8197" t="str">
        <f>T("   721633")</f>
        <v xml:space="preserve">   721633</v>
      </c>
      <c r="B8197" t="str">
        <f>T("   PROFILÉS EN H, EN FER OU EN ACIERS NON-ALLIÉS, SIMPL. LAMINÉS OU FILÉS À CHAUD, D'UNE HAUTEUR &gt;= 80 MM")</f>
        <v xml:space="preserve">   PROFILÉS EN H, EN FER OU EN ACIERS NON-ALLIÉS, SIMPL. LAMINÉS OU FILÉS À CHAUD, D'UNE HAUTEUR &gt;= 80 MM</v>
      </c>
      <c r="C8197">
        <v>7782000</v>
      </c>
      <c r="D8197">
        <v>26120</v>
      </c>
    </row>
    <row r="8198" spans="1:4" x14ac:dyDescent="0.25">
      <c r="A8198" t="str">
        <f>T("   721790")</f>
        <v xml:space="preserve">   721790</v>
      </c>
      <c r="B819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198">
        <v>20000</v>
      </c>
      <c r="D8198">
        <v>40</v>
      </c>
    </row>
    <row r="8199" spans="1:4" x14ac:dyDescent="0.25">
      <c r="A8199" t="str">
        <f>T("   730110")</f>
        <v xml:space="preserve">   730110</v>
      </c>
      <c r="B8199" t="str">
        <f>T("   PALPLANCHES EN FER OU EN ACIER, MÊME PERCÉES OU FAITES D'ÉLÉMENTS ASSEMBLÉS")</f>
        <v xml:space="preserve">   PALPLANCHES EN FER OU EN ACIER, MÊME PERCÉES OU FAITES D'ÉLÉMENTS ASSEMBLÉS</v>
      </c>
      <c r="C8199">
        <v>205000</v>
      </c>
      <c r="D8199">
        <v>450</v>
      </c>
    </row>
    <row r="8200" spans="1:4" x14ac:dyDescent="0.25">
      <c r="A8200" t="str">
        <f>T("   730300")</f>
        <v xml:space="preserve">   730300</v>
      </c>
      <c r="B8200" t="str">
        <f>T("   Tubes, tuyaux et profilés creux, en fonte")</f>
        <v xml:space="preserve">   Tubes, tuyaux et profilés creux, en fonte</v>
      </c>
      <c r="C8200">
        <v>7605900</v>
      </c>
      <c r="D8200">
        <v>24610</v>
      </c>
    </row>
    <row r="8201" spans="1:4" x14ac:dyDescent="0.25">
      <c r="A8201" t="str">
        <f>T("   730490")</f>
        <v xml:space="preserve">   730490</v>
      </c>
      <c r="B8201" t="str">
        <f>T("   Tubes, tuyaux et profilés creux, sans soudure, de section autre que circulaire, en fer (à l'excl. de la fonte) ou en acier")</f>
        <v xml:space="preserve">   Tubes, tuyaux et profilés creux, sans soudure, de section autre que circulaire, en fer (à l'excl. de la fonte) ou en acier</v>
      </c>
      <c r="C8201">
        <v>38000</v>
      </c>
      <c r="D8201">
        <v>50</v>
      </c>
    </row>
    <row r="8202" spans="1:4" x14ac:dyDescent="0.25">
      <c r="A8202" t="str">
        <f>T("   730590")</f>
        <v xml:space="preserve">   730590</v>
      </c>
      <c r="B8202" t="str">
        <f>T("   Tubes et tuyaux de section circulaire, d'un diamètre extérieur &gt; 406,4 mm, en produits laminés plats en fer ou en acier (sauf soudés et sauf tubes des types utilisés pour les oléoducs et gazoducs ou pour l'extraction de pétrole ou de gaz)")</f>
        <v xml:space="preserve">   Tubes et tuyaux de section circulaire, d'un diamètre extérieur &gt; 406,4 mm, en produits laminés plats en fer ou en acier (sauf soudés et sauf tubes des types utilisés pour les oléoducs et gazoducs ou pour l'extraction de pétrole ou de gaz)</v>
      </c>
      <c r="C8202">
        <v>300000</v>
      </c>
      <c r="D8202">
        <v>300</v>
      </c>
    </row>
    <row r="8203" spans="1:4" x14ac:dyDescent="0.25">
      <c r="A8203" t="str">
        <f>T("   730630")</f>
        <v xml:space="preserve">   730630</v>
      </c>
      <c r="B8203" t="s">
        <v>372</v>
      </c>
      <c r="C8203">
        <v>2509500</v>
      </c>
      <c r="D8203">
        <v>6020</v>
      </c>
    </row>
    <row r="8204" spans="1:4" x14ac:dyDescent="0.25">
      <c r="A8204" t="str">
        <f>T("   730640")</f>
        <v xml:space="preserve">   730640</v>
      </c>
      <c r="B8204" t="s">
        <v>373</v>
      </c>
      <c r="C8204">
        <v>24000</v>
      </c>
      <c r="D8204">
        <v>20</v>
      </c>
    </row>
    <row r="8205" spans="1:4" x14ac:dyDescent="0.25">
      <c r="A8205" t="str">
        <f>T("   730820")</f>
        <v xml:space="preserve">   730820</v>
      </c>
      <c r="B8205" t="str">
        <f>T("   Tours et pylônes, en fer ou en acier")</f>
        <v xml:space="preserve">   Tours et pylônes, en fer ou en acier</v>
      </c>
      <c r="C8205">
        <v>201901863</v>
      </c>
      <c r="D8205">
        <v>387050</v>
      </c>
    </row>
    <row r="8206" spans="1:4" x14ac:dyDescent="0.25">
      <c r="A8206" t="str">
        <f>T("   730890")</f>
        <v xml:space="preserve">   730890</v>
      </c>
      <c r="B8206" t="s">
        <v>376</v>
      </c>
      <c r="C8206">
        <v>225000</v>
      </c>
      <c r="D8206">
        <v>200</v>
      </c>
    </row>
    <row r="8207" spans="1:4" x14ac:dyDescent="0.25">
      <c r="A8207" t="str">
        <f>T("   731010")</f>
        <v xml:space="preserve">   731010</v>
      </c>
      <c r="B820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8207">
        <v>2677950</v>
      </c>
      <c r="D8207">
        <v>6970</v>
      </c>
    </row>
    <row r="8208" spans="1:4" x14ac:dyDescent="0.25">
      <c r="A8208" t="str">
        <f>T("   731029")</f>
        <v xml:space="preserve">   731029</v>
      </c>
      <c r="B8208"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8208">
        <v>237000</v>
      </c>
      <c r="D8208">
        <v>330</v>
      </c>
    </row>
    <row r="8209" spans="1:4" x14ac:dyDescent="0.25">
      <c r="A8209" t="str">
        <f>T("   731100")</f>
        <v xml:space="preserve">   731100</v>
      </c>
      <c r="B8209"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209">
        <v>36939595</v>
      </c>
      <c r="D8209">
        <v>15150</v>
      </c>
    </row>
    <row r="8210" spans="1:4" x14ac:dyDescent="0.25">
      <c r="A8210" t="str">
        <f>T("   731290")</f>
        <v xml:space="preserve">   731290</v>
      </c>
      <c r="B8210" t="str">
        <f>T("   Tresses, élingues et simil., en fer ou en acier (sauf produits isolés pour l'électricité)")</f>
        <v xml:space="preserve">   Tresses, élingues et simil., en fer ou en acier (sauf produits isolés pour l'électricité)</v>
      </c>
      <c r="C8210">
        <v>385000</v>
      </c>
      <c r="D8210">
        <v>440</v>
      </c>
    </row>
    <row r="8211" spans="1:4" x14ac:dyDescent="0.25">
      <c r="A8211" t="str">
        <f>T("   731441")</f>
        <v xml:space="preserve">   731441</v>
      </c>
      <c r="B8211" t="str">
        <f>T("   GRILLAGES ET TREILLIS, EN FILS DE FER OU D'ACIER, NON-SOUDÉS AUX POINTS DE RENCONTRE, ZINGUÉS")</f>
        <v xml:space="preserve">   GRILLAGES ET TREILLIS, EN FILS DE FER OU D'ACIER, NON-SOUDÉS AUX POINTS DE RENCONTRE, ZINGUÉS</v>
      </c>
      <c r="C8211">
        <v>13500</v>
      </c>
      <c r="D8211">
        <v>15</v>
      </c>
    </row>
    <row r="8212" spans="1:4" x14ac:dyDescent="0.25">
      <c r="A8212" t="str">
        <f>T("   731449")</f>
        <v xml:space="preserve">   731449</v>
      </c>
      <c r="B8212"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8212">
        <v>419100</v>
      </c>
      <c r="D8212">
        <v>800</v>
      </c>
    </row>
    <row r="8213" spans="1:4" x14ac:dyDescent="0.25">
      <c r="A8213" t="str">
        <f>T("   731700")</f>
        <v xml:space="preserve">   731700</v>
      </c>
      <c r="B8213"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213">
        <v>20760</v>
      </c>
      <c r="D8213">
        <v>62</v>
      </c>
    </row>
    <row r="8214" spans="1:4" x14ac:dyDescent="0.25">
      <c r="A8214" t="str">
        <f>T("   731815")</f>
        <v xml:space="preserve">   731815</v>
      </c>
      <c r="B8214" t="s">
        <v>380</v>
      </c>
      <c r="C8214">
        <v>132000</v>
      </c>
      <c r="D8214">
        <v>165</v>
      </c>
    </row>
    <row r="8215" spans="1:4" x14ac:dyDescent="0.25">
      <c r="A8215" t="str">
        <f>T("   732111")</f>
        <v xml:space="preserve">   732111</v>
      </c>
      <c r="B8215" t="s">
        <v>382</v>
      </c>
      <c r="C8215">
        <v>231000</v>
      </c>
      <c r="D8215">
        <v>330</v>
      </c>
    </row>
    <row r="8216" spans="1:4" x14ac:dyDescent="0.25">
      <c r="A8216" t="str">
        <f>T("   732112")</f>
        <v xml:space="preserve">   732112</v>
      </c>
      <c r="B8216" t="s">
        <v>383</v>
      </c>
      <c r="C8216">
        <v>148500</v>
      </c>
      <c r="D8216">
        <v>220</v>
      </c>
    </row>
    <row r="8217" spans="1:4" x14ac:dyDescent="0.25">
      <c r="A8217" t="str">
        <f>T("   732391")</f>
        <v xml:space="preserve">   732391</v>
      </c>
      <c r="B8217" t="s">
        <v>386</v>
      </c>
      <c r="C8217">
        <v>717936</v>
      </c>
      <c r="D8217">
        <v>1200</v>
      </c>
    </row>
    <row r="8218" spans="1:4" x14ac:dyDescent="0.25">
      <c r="A8218" t="str">
        <f>T("   732392")</f>
        <v xml:space="preserve">   732392</v>
      </c>
      <c r="B8218" t="s">
        <v>387</v>
      </c>
      <c r="C8218">
        <v>868313</v>
      </c>
      <c r="D8218">
        <v>1882</v>
      </c>
    </row>
    <row r="8219" spans="1:4" x14ac:dyDescent="0.25">
      <c r="A8219" t="str">
        <f>T("   732394")</f>
        <v xml:space="preserve">   732394</v>
      </c>
      <c r="B8219" t="s">
        <v>389</v>
      </c>
      <c r="C8219">
        <v>45549500</v>
      </c>
      <c r="D8219">
        <v>129687</v>
      </c>
    </row>
    <row r="8220" spans="1:4" x14ac:dyDescent="0.25">
      <c r="A8220" t="str">
        <f>T("   732399")</f>
        <v xml:space="preserve">   732399</v>
      </c>
      <c r="B8220" t="s">
        <v>390</v>
      </c>
      <c r="C8220">
        <v>3090800</v>
      </c>
      <c r="D8220">
        <v>8713</v>
      </c>
    </row>
    <row r="8221" spans="1:4" x14ac:dyDescent="0.25">
      <c r="A8221" t="str">
        <f>T("   732620")</f>
        <v xml:space="preserve">   732620</v>
      </c>
      <c r="B8221" t="str">
        <f>T("   Ouvrages en fil de fer ou d'acier, n.d.a.")</f>
        <v xml:space="preserve">   Ouvrages en fil de fer ou d'acier, n.d.a.</v>
      </c>
      <c r="C8221">
        <v>11804984</v>
      </c>
      <c r="D8221">
        <v>1300</v>
      </c>
    </row>
    <row r="8222" spans="1:4" x14ac:dyDescent="0.25">
      <c r="A8222" t="str">
        <f>T("   740319")</f>
        <v xml:space="preserve">   740319</v>
      </c>
      <c r="B8222" t="str">
        <f>T("   Cuivre affiné, sous forme brute (autre que sous forme de billettes, barres à fil, cathodes ou sections de cathodes)")</f>
        <v xml:space="preserve">   Cuivre affiné, sous forme brute (autre que sous forme de billettes, barres à fil, cathodes ou sections de cathodes)</v>
      </c>
      <c r="C8222">
        <v>118800</v>
      </c>
      <c r="D8222">
        <v>50</v>
      </c>
    </row>
    <row r="8223" spans="1:4" x14ac:dyDescent="0.25">
      <c r="A8223" t="str">
        <f>T("   741510")</f>
        <v xml:space="preserve">   741510</v>
      </c>
      <c r="B8223"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8223">
        <v>39469</v>
      </c>
      <c r="D8223">
        <v>250</v>
      </c>
    </row>
    <row r="8224" spans="1:4" x14ac:dyDescent="0.25">
      <c r="A8224" t="str">
        <f>T("   760410")</f>
        <v xml:space="preserve">   760410</v>
      </c>
      <c r="B8224" t="str">
        <f>T("   BARRES ET PROFILÉS EN ALUMINIUM NON-ALLIÉ, N.D.A.")</f>
        <v xml:space="preserve">   BARRES ET PROFILÉS EN ALUMINIUM NON-ALLIÉ, N.D.A.</v>
      </c>
      <c r="C8224">
        <v>90000</v>
      </c>
      <c r="D8224">
        <v>20</v>
      </c>
    </row>
    <row r="8225" spans="1:4" x14ac:dyDescent="0.25">
      <c r="A8225" t="str">
        <f>T("   760429")</f>
        <v xml:space="preserve">   760429</v>
      </c>
      <c r="B8225" t="str">
        <f>T("   Barres et profilés pleins en alliages d'aluminium, n.d.a.")</f>
        <v xml:space="preserve">   Barres et profilés pleins en alliages d'aluminium, n.d.a.</v>
      </c>
      <c r="C8225">
        <v>559000</v>
      </c>
      <c r="D8225">
        <v>475</v>
      </c>
    </row>
    <row r="8226" spans="1:4" x14ac:dyDescent="0.25">
      <c r="A8226" t="str">
        <f>T("   760719")</f>
        <v xml:space="preserve">   760719</v>
      </c>
      <c r="B8226"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8226">
        <v>10839930</v>
      </c>
      <c r="D8226">
        <v>13445</v>
      </c>
    </row>
    <row r="8227" spans="1:4" x14ac:dyDescent="0.25">
      <c r="A8227" t="str">
        <f>T("   760810")</f>
        <v xml:space="preserve">   760810</v>
      </c>
      <c r="B8227" t="str">
        <f>T("   Tubes et tuyaux en aluminium non allié (sauf profilés creux)")</f>
        <v xml:space="preserve">   Tubes et tuyaux en aluminium non allié (sauf profilés creux)</v>
      </c>
      <c r="C8227">
        <v>5600</v>
      </c>
      <c r="D8227">
        <v>16</v>
      </c>
    </row>
    <row r="8228" spans="1:4" x14ac:dyDescent="0.25">
      <c r="A8228" t="str">
        <f>T("   761010")</f>
        <v xml:space="preserve">   761010</v>
      </c>
      <c r="B8228" t="str">
        <f>T("   Portes, fenêtres et leurs cadres, chambranles et seuils, en aluminium (sauf pièces de garnissage)")</f>
        <v xml:space="preserve">   Portes, fenêtres et leurs cadres, chambranles et seuils, en aluminium (sauf pièces de garnissage)</v>
      </c>
      <c r="C8228">
        <v>345000</v>
      </c>
      <c r="D8228">
        <v>260</v>
      </c>
    </row>
    <row r="8229" spans="1:4" x14ac:dyDescent="0.25">
      <c r="A8229" t="str">
        <f>T("   761519")</f>
        <v xml:space="preserve">   761519</v>
      </c>
      <c r="B8229" t="s">
        <v>397</v>
      </c>
      <c r="C8229">
        <v>143000</v>
      </c>
      <c r="D8229">
        <v>143</v>
      </c>
    </row>
    <row r="8230" spans="1:4" x14ac:dyDescent="0.25">
      <c r="A8230" t="str">
        <f>T("   761610")</f>
        <v xml:space="preserve">   761610</v>
      </c>
      <c r="B8230" t="s">
        <v>398</v>
      </c>
      <c r="C8230">
        <v>148747</v>
      </c>
      <c r="D8230">
        <v>134</v>
      </c>
    </row>
    <row r="8231" spans="1:4" x14ac:dyDescent="0.25">
      <c r="A8231" t="str">
        <f>T("   820510")</f>
        <v xml:space="preserve">   820510</v>
      </c>
      <c r="B8231" t="str">
        <f>T("   Outils de perçage, de filetage ou de taraudage, maniés à la main")</f>
        <v xml:space="preserve">   Outils de perçage, de filetage ou de taraudage, maniés à la main</v>
      </c>
      <c r="C8231">
        <v>128000</v>
      </c>
      <c r="D8231">
        <v>38</v>
      </c>
    </row>
    <row r="8232" spans="1:4" x14ac:dyDescent="0.25">
      <c r="A8232" t="str">
        <f>T("   820559")</f>
        <v xml:space="preserve">   820559</v>
      </c>
      <c r="B8232" t="str">
        <f>T("   Outils à main, y.c. -les diamants de vitrier-, en métaux communs, n.d.a.")</f>
        <v xml:space="preserve">   Outils à main, y.c. -les diamants de vitrier-, en métaux communs, n.d.a.</v>
      </c>
      <c r="C8232">
        <v>159022692</v>
      </c>
      <c r="D8232">
        <v>1333</v>
      </c>
    </row>
    <row r="8233" spans="1:4" x14ac:dyDescent="0.25">
      <c r="A8233" t="str">
        <f>T("   821210")</f>
        <v xml:space="preserve">   821210</v>
      </c>
      <c r="B8233" t="str">
        <f>T("   Rasoirs et rasoirs de sûreté non-électriques, en métaux communs")</f>
        <v xml:space="preserve">   Rasoirs et rasoirs de sûreté non-électriques, en métaux communs</v>
      </c>
      <c r="C8233">
        <v>190655</v>
      </c>
      <c r="D8233">
        <v>63</v>
      </c>
    </row>
    <row r="8234" spans="1:4" x14ac:dyDescent="0.25">
      <c r="A8234" t="str">
        <f>T("   821490")</f>
        <v xml:space="preserve">   821490</v>
      </c>
      <c r="B8234" t="str">
        <f>T("   Tondeuses de coiffeur et autres articles à couper, n.d.a., en métaux communs")</f>
        <v xml:space="preserve">   Tondeuses de coiffeur et autres articles à couper, n.d.a., en métaux communs</v>
      </c>
      <c r="C8234">
        <v>240000</v>
      </c>
      <c r="D8234">
        <v>200</v>
      </c>
    </row>
    <row r="8235" spans="1:4" x14ac:dyDescent="0.25">
      <c r="A8235" t="str">
        <f>T("   821520")</f>
        <v xml:space="preserve">   821520</v>
      </c>
      <c r="B8235"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8235">
        <v>4900</v>
      </c>
      <c r="D8235">
        <v>14</v>
      </c>
    </row>
    <row r="8236" spans="1:4" x14ac:dyDescent="0.25">
      <c r="A8236" t="str">
        <f>T("   821591")</f>
        <v xml:space="preserve">   821591</v>
      </c>
      <c r="B8236" t="str">
        <f>T("   Cuillers, fourchettes, louches, écumoires, pelles à tartes, couteaux spéciaux à poisson ou à beurre, pinces à sucre et articles simil., en métaux communs, argentés, dorés ou platinés (sauf en assortiments et sauf cisailles à volaille et à homards)")</f>
        <v xml:space="preserve">   Cuillers, fourchettes, louches, écumoires, pelles à tartes, couteaux spéciaux à poisson ou à beurre, pinces à sucre et articles simil., en métaux communs, argentés, dorés ou platinés (sauf en assortiments et sauf cisailles à volaille et à homards)</v>
      </c>
      <c r="C8236">
        <v>273000</v>
      </c>
      <c r="D8236">
        <v>780</v>
      </c>
    </row>
    <row r="8237" spans="1:4" x14ac:dyDescent="0.25">
      <c r="A8237" t="str">
        <f>T("   821599")</f>
        <v xml:space="preserve">   821599</v>
      </c>
      <c r="B8237" t="s">
        <v>404</v>
      </c>
      <c r="C8237">
        <v>97406820</v>
      </c>
      <c r="D8237">
        <v>277887</v>
      </c>
    </row>
    <row r="8238" spans="1:4" x14ac:dyDescent="0.25">
      <c r="A8238" t="str">
        <f>T("   830300")</f>
        <v xml:space="preserve">   830300</v>
      </c>
      <c r="B8238"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8238">
        <v>1150490</v>
      </c>
      <c r="D8238">
        <v>650</v>
      </c>
    </row>
    <row r="8239" spans="1:4" x14ac:dyDescent="0.25">
      <c r="A8239" t="str">
        <f>T("   830990")</f>
        <v xml:space="preserve">   830990</v>
      </c>
      <c r="B8239"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8239">
        <v>260700</v>
      </c>
      <c r="D8239">
        <v>540</v>
      </c>
    </row>
    <row r="8240" spans="1:4" x14ac:dyDescent="0.25">
      <c r="A8240" t="str">
        <f>T("   831130")</f>
        <v xml:space="preserve">   831130</v>
      </c>
      <c r="B8240" t="s">
        <v>409</v>
      </c>
      <c r="C8240">
        <v>2298500</v>
      </c>
      <c r="D8240">
        <v>6500</v>
      </c>
    </row>
    <row r="8241" spans="1:4" x14ac:dyDescent="0.25">
      <c r="A8241" t="str">
        <f>T("   840510")</f>
        <v xml:space="preserve">   840510</v>
      </c>
      <c r="B8241" t="s">
        <v>411</v>
      </c>
      <c r="C8241">
        <v>80000</v>
      </c>
      <c r="D8241">
        <v>50</v>
      </c>
    </row>
    <row r="8242" spans="1:4" x14ac:dyDescent="0.25">
      <c r="A8242" t="str">
        <f>T("   840590")</f>
        <v xml:space="preserve">   840590</v>
      </c>
      <c r="B8242"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8242">
        <v>3000</v>
      </c>
      <c r="D8242">
        <v>20</v>
      </c>
    </row>
    <row r="8243" spans="1:4" x14ac:dyDescent="0.25">
      <c r="A8243" t="str">
        <f>T("   840734")</f>
        <v xml:space="preserve">   840734</v>
      </c>
      <c r="B8243" t="s">
        <v>413</v>
      </c>
      <c r="C8243">
        <v>34248250</v>
      </c>
      <c r="D8243">
        <v>65069</v>
      </c>
    </row>
    <row r="8244" spans="1:4" x14ac:dyDescent="0.25">
      <c r="A8244" t="str">
        <f>T("   840820")</f>
        <v xml:space="preserve">   840820</v>
      </c>
      <c r="B8244" t="s">
        <v>415</v>
      </c>
      <c r="C8244">
        <v>1715000</v>
      </c>
      <c r="D8244">
        <v>1900</v>
      </c>
    </row>
    <row r="8245" spans="1:4" x14ac:dyDescent="0.25">
      <c r="A8245" t="str">
        <f>T("   840890")</f>
        <v xml:space="preserve">   840890</v>
      </c>
      <c r="B8245" t="s">
        <v>416</v>
      </c>
      <c r="C8245">
        <v>930000</v>
      </c>
      <c r="D8245">
        <v>850</v>
      </c>
    </row>
    <row r="8246" spans="1:4" x14ac:dyDescent="0.25">
      <c r="A8246" t="str">
        <f>T("   841231")</f>
        <v xml:space="preserve">   841231</v>
      </c>
      <c r="B8246" t="str">
        <f>T("   Moteurs pneumatiques, à mouvement rectiligne -cylindres-")</f>
        <v xml:space="preserve">   Moteurs pneumatiques, à mouvement rectiligne -cylindres-</v>
      </c>
      <c r="C8246">
        <v>300000</v>
      </c>
      <c r="D8246">
        <v>300</v>
      </c>
    </row>
    <row r="8247" spans="1:4" x14ac:dyDescent="0.25">
      <c r="A8247" t="str">
        <f>T("   841330")</f>
        <v xml:space="preserve">   841330</v>
      </c>
      <c r="B824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8247">
        <v>65100</v>
      </c>
      <c r="D8247">
        <v>150</v>
      </c>
    </row>
    <row r="8248" spans="1:4" x14ac:dyDescent="0.25">
      <c r="A8248" t="str">
        <f>T("   841381")</f>
        <v xml:space="preserve">   841381</v>
      </c>
      <c r="B8248" t="s">
        <v>420</v>
      </c>
      <c r="C8248">
        <v>1495325</v>
      </c>
      <c r="D8248">
        <v>43</v>
      </c>
    </row>
    <row r="8249" spans="1:4" x14ac:dyDescent="0.25">
      <c r="A8249" t="str">
        <f>T("   841382")</f>
        <v xml:space="preserve">   841382</v>
      </c>
      <c r="B8249" t="str">
        <f>T("   Elévateurs à liquides (à l'excl. des pompes)")</f>
        <v xml:space="preserve">   Elévateurs à liquides (à l'excl. des pompes)</v>
      </c>
      <c r="C8249">
        <v>1779500</v>
      </c>
      <c r="D8249">
        <v>1420</v>
      </c>
    </row>
    <row r="8250" spans="1:4" x14ac:dyDescent="0.25">
      <c r="A8250" t="str">
        <f>T("   841420")</f>
        <v xml:space="preserve">   841420</v>
      </c>
      <c r="B8250" t="str">
        <f>T("   Pompes à air, à main ou à pied")</f>
        <v xml:space="preserve">   Pompes à air, à main ou à pied</v>
      </c>
      <c r="C8250">
        <v>214830</v>
      </c>
      <c r="D8250">
        <v>200</v>
      </c>
    </row>
    <row r="8251" spans="1:4" x14ac:dyDescent="0.25">
      <c r="A8251" t="str">
        <f>T("   841430")</f>
        <v xml:space="preserve">   841430</v>
      </c>
      <c r="B8251" t="str">
        <f>T("   Compresseurs des types utilisés pour équipements frigorifiques")</f>
        <v xml:space="preserve">   Compresseurs des types utilisés pour équipements frigorifiques</v>
      </c>
      <c r="C8251">
        <v>650000</v>
      </c>
      <c r="D8251">
        <v>500</v>
      </c>
    </row>
    <row r="8252" spans="1:4" x14ac:dyDescent="0.25">
      <c r="A8252" t="str">
        <f>T("   841451")</f>
        <v xml:space="preserve">   841451</v>
      </c>
      <c r="B8252"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8252">
        <v>177714500</v>
      </c>
      <c r="D8252">
        <v>237350</v>
      </c>
    </row>
    <row r="8253" spans="1:4" x14ac:dyDescent="0.25">
      <c r="A8253" t="str">
        <f>T("   841459")</f>
        <v xml:space="preserve">   841459</v>
      </c>
      <c r="B8253"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8253">
        <v>5920000</v>
      </c>
      <c r="D8253">
        <v>1400</v>
      </c>
    </row>
    <row r="8254" spans="1:4" x14ac:dyDescent="0.25">
      <c r="A8254" t="str">
        <f>T("   841480")</f>
        <v xml:space="preserve">   841480</v>
      </c>
      <c r="B8254" t="s">
        <v>421</v>
      </c>
      <c r="C8254">
        <v>30000</v>
      </c>
      <c r="D8254">
        <v>50</v>
      </c>
    </row>
    <row r="8255" spans="1:4" x14ac:dyDescent="0.25">
      <c r="A8255" t="str">
        <f>T("   841510")</f>
        <v xml:space="preserve">   841510</v>
      </c>
      <c r="B8255" t="s">
        <v>422</v>
      </c>
      <c r="C8255">
        <v>1468000</v>
      </c>
      <c r="D8255">
        <v>2250</v>
      </c>
    </row>
    <row r="8256" spans="1:4" x14ac:dyDescent="0.25">
      <c r="A8256" t="str">
        <f>T("   841583")</f>
        <v xml:space="preserve">   841583</v>
      </c>
      <c r="B8256" t="s">
        <v>425</v>
      </c>
      <c r="C8256">
        <v>94000</v>
      </c>
      <c r="D8256">
        <v>94</v>
      </c>
    </row>
    <row r="8257" spans="1:4" x14ac:dyDescent="0.25">
      <c r="A8257" t="str">
        <f>T("   841821")</f>
        <v xml:space="preserve">   841821</v>
      </c>
      <c r="B8257" t="str">
        <f>T("   Réfrigérateurs ménagers à compression")</f>
        <v xml:space="preserve">   Réfrigérateurs ménagers à compression</v>
      </c>
      <c r="C8257">
        <v>1133600</v>
      </c>
      <c r="D8257">
        <v>2250</v>
      </c>
    </row>
    <row r="8258" spans="1:4" x14ac:dyDescent="0.25">
      <c r="A8258" t="str">
        <f>T("   841829")</f>
        <v xml:space="preserve">   841829</v>
      </c>
      <c r="B8258" t="str">
        <f>T("   Réfrigérateurs ménagers à absorption, non-électriques")</f>
        <v xml:space="preserve">   Réfrigérateurs ménagers à absorption, non-électriques</v>
      </c>
      <c r="C8258">
        <v>492595</v>
      </c>
      <c r="D8258">
        <v>280</v>
      </c>
    </row>
    <row r="8259" spans="1:4" x14ac:dyDescent="0.25">
      <c r="A8259" t="str">
        <f>T("   841850")</f>
        <v xml:space="preserve">   841850</v>
      </c>
      <c r="B8259" t="s">
        <v>427</v>
      </c>
      <c r="C8259">
        <v>322500</v>
      </c>
      <c r="D8259">
        <v>215</v>
      </c>
    </row>
    <row r="8260" spans="1:4" x14ac:dyDescent="0.25">
      <c r="A8260" t="str">
        <f>T("   841891")</f>
        <v xml:space="preserve">   841891</v>
      </c>
      <c r="B8260" t="str">
        <f>T("   Meubles conçus pour recevoir un équipement pour la production du froid")</f>
        <v xml:space="preserve">   Meubles conçus pour recevoir un équipement pour la production du froid</v>
      </c>
      <c r="C8260">
        <v>120000</v>
      </c>
      <c r="D8260">
        <v>80</v>
      </c>
    </row>
    <row r="8261" spans="1:4" x14ac:dyDescent="0.25">
      <c r="A8261" t="str">
        <f>T("   841899")</f>
        <v xml:space="preserve">   841899</v>
      </c>
      <c r="B826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261">
        <v>24013500</v>
      </c>
      <c r="D8261">
        <v>16037</v>
      </c>
    </row>
    <row r="8262" spans="1:4" x14ac:dyDescent="0.25">
      <c r="A8262" t="str">
        <f>T("   841920")</f>
        <v xml:space="preserve">   841920</v>
      </c>
      <c r="B8262" t="str">
        <f>T("   Stérilisateurs médico-chirurgicaux ou de laboratoire")</f>
        <v xml:space="preserve">   Stérilisateurs médico-chirurgicaux ou de laboratoire</v>
      </c>
      <c r="C8262">
        <v>146710</v>
      </c>
      <c r="D8262">
        <v>65</v>
      </c>
    </row>
    <row r="8263" spans="1:4" x14ac:dyDescent="0.25">
      <c r="A8263" t="str">
        <f>T("   841939")</f>
        <v xml:space="preserve">   841939</v>
      </c>
      <c r="B8263"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8263">
        <v>80000</v>
      </c>
      <c r="D8263">
        <v>50</v>
      </c>
    </row>
    <row r="8264" spans="1:4" x14ac:dyDescent="0.25">
      <c r="A8264" t="str">
        <f>T("   841960")</f>
        <v xml:space="preserve">   841960</v>
      </c>
      <c r="B8264" t="str">
        <f>T("   Appareils et dispositifs pour la liquéfaction de l'air ou d'autres gaz")</f>
        <v xml:space="preserve">   Appareils et dispositifs pour la liquéfaction de l'air ou d'autres gaz</v>
      </c>
      <c r="C8264">
        <v>175000</v>
      </c>
      <c r="D8264">
        <v>100</v>
      </c>
    </row>
    <row r="8265" spans="1:4" x14ac:dyDescent="0.25">
      <c r="A8265" t="str">
        <f>T("   842121")</f>
        <v xml:space="preserve">   842121</v>
      </c>
      <c r="B8265" t="str">
        <f>T("   Appareils pour la filtration ou l'épuration des eaux")</f>
        <v xml:space="preserve">   Appareils pour la filtration ou l'épuration des eaux</v>
      </c>
      <c r="C8265">
        <v>162400</v>
      </c>
      <c r="D8265">
        <v>130</v>
      </c>
    </row>
    <row r="8266" spans="1:4" x14ac:dyDescent="0.25">
      <c r="A8266" t="str">
        <f>T("   842131")</f>
        <v xml:space="preserve">   842131</v>
      </c>
      <c r="B8266" t="str">
        <f>T("   Filtres d'entrée d'air pour moteurs à allumage par étincelles ou par compression")</f>
        <v xml:space="preserve">   Filtres d'entrée d'air pour moteurs à allumage par étincelles ou par compression</v>
      </c>
      <c r="C8266">
        <v>335000</v>
      </c>
      <c r="D8266">
        <v>56</v>
      </c>
    </row>
    <row r="8267" spans="1:4" x14ac:dyDescent="0.25">
      <c r="A8267" t="str">
        <f>T("   842230")</f>
        <v xml:space="preserve">   842230</v>
      </c>
      <c r="B8267"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8267">
        <v>7390000</v>
      </c>
      <c r="D8267">
        <v>3300</v>
      </c>
    </row>
    <row r="8268" spans="1:4" x14ac:dyDescent="0.25">
      <c r="A8268" t="str">
        <f>T("   842310")</f>
        <v xml:space="preserve">   842310</v>
      </c>
      <c r="B8268" t="str">
        <f>T("   Pèse-personnes, y.c. les pèse-bébés; balances de ménage")</f>
        <v xml:space="preserve">   Pèse-personnes, y.c. les pèse-bébés; balances de ménage</v>
      </c>
      <c r="C8268">
        <v>625000</v>
      </c>
      <c r="D8268">
        <v>625</v>
      </c>
    </row>
    <row r="8269" spans="1:4" x14ac:dyDescent="0.25">
      <c r="A8269" t="str">
        <f>T("   842410")</f>
        <v xml:space="preserve">   842410</v>
      </c>
      <c r="B8269" t="str">
        <f>T("   Extincteurs mécaniques, même chargés (sauf bombes et grenades d'extinction d'incendie)")</f>
        <v xml:space="preserve">   Extincteurs mécaniques, même chargés (sauf bombes et grenades d'extinction d'incendie)</v>
      </c>
      <c r="C8269">
        <v>1299000</v>
      </c>
      <c r="D8269">
        <v>1380</v>
      </c>
    </row>
    <row r="8270" spans="1:4" x14ac:dyDescent="0.25">
      <c r="A8270" t="str">
        <f>T("   842481")</f>
        <v xml:space="preserve">   842481</v>
      </c>
      <c r="B8270"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8270">
        <v>100450</v>
      </c>
      <c r="D8270">
        <v>98</v>
      </c>
    </row>
    <row r="8271" spans="1:4" x14ac:dyDescent="0.25">
      <c r="A8271" t="str">
        <f>T("   842490")</f>
        <v xml:space="preserve">   842490</v>
      </c>
      <c r="B8271" t="s">
        <v>432</v>
      </c>
      <c r="C8271">
        <v>146000</v>
      </c>
      <c r="D8271">
        <v>140</v>
      </c>
    </row>
    <row r="8272" spans="1:4" x14ac:dyDescent="0.25">
      <c r="A8272" t="str">
        <f>T("   842720")</f>
        <v xml:space="preserve">   842720</v>
      </c>
      <c r="B8272" t="str">
        <f>T("   Chariots de manutention autopropulsés, autres qu'à moteur électrique, avec dispositif de levage")</f>
        <v xml:space="preserve">   Chariots de manutention autopropulsés, autres qu'à moteur électrique, avec dispositif de levage</v>
      </c>
      <c r="C8272">
        <v>88226620</v>
      </c>
      <c r="D8272">
        <v>22100</v>
      </c>
    </row>
    <row r="8273" spans="1:4" x14ac:dyDescent="0.25">
      <c r="A8273" t="str">
        <f>T("   843143")</f>
        <v xml:space="preserve">   843143</v>
      </c>
      <c r="B8273" t="str">
        <f>T("   Parties de machines de sondage ou de forage du n° 8430.41 ou 8430.49, n.d.a.")</f>
        <v xml:space="preserve">   Parties de machines de sondage ou de forage du n° 8430.41 ou 8430.49, n.d.a.</v>
      </c>
      <c r="C8273">
        <v>98366824</v>
      </c>
      <c r="D8273">
        <v>22500</v>
      </c>
    </row>
    <row r="8274" spans="1:4" x14ac:dyDescent="0.25">
      <c r="A8274" t="str">
        <f>T("   843780")</f>
        <v xml:space="preserve">   843780</v>
      </c>
      <c r="B8274" t="s">
        <v>439</v>
      </c>
      <c r="C8274">
        <v>7729000</v>
      </c>
      <c r="D8274">
        <v>14049</v>
      </c>
    </row>
    <row r="8275" spans="1:4" x14ac:dyDescent="0.25">
      <c r="A8275" t="str">
        <f>T("   843790")</f>
        <v xml:space="preserve">   843790</v>
      </c>
      <c r="B8275"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8275">
        <v>92090940</v>
      </c>
      <c r="D8275">
        <v>157818</v>
      </c>
    </row>
    <row r="8276" spans="1:4" x14ac:dyDescent="0.25">
      <c r="A8276" t="str">
        <f>T("   844010")</f>
        <v xml:space="preserve">   844010</v>
      </c>
      <c r="B8276" t="s">
        <v>441</v>
      </c>
      <c r="C8276">
        <v>30000</v>
      </c>
      <c r="D8276">
        <v>20</v>
      </c>
    </row>
    <row r="8277" spans="1:4" x14ac:dyDescent="0.25">
      <c r="A8277" t="str">
        <f>T("   844319")</f>
        <v xml:space="preserve">   844319</v>
      </c>
      <c r="B8277" t="s">
        <v>443</v>
      </c>
      <c r="C8277">
        <v>305446</v>
      </c>
      <c r="D8277">
        <v>12</v>
      </c>
    </row>
    <row r="8278" spans="1:4" x14ac:dyDescent="0.25">
      <c r="A8278" t="str">
        <f>T("   845210")</f>
        <v xml:space="preserve">   845210</v>
      </c>
      <c r="B8278" t="str">
        <f>T("   Machines à coudre de type ménager")</f>
        <v xml:space="preserve">   Machines à coudre de type ménager</v>
      </c>
      <c r="C8278">
        <v>2024500</v>
      </c>
      <c r="D8278">
        <v>2730</v>
      </c>
    </row>
    <row r="8279" spans="1:4" x14ac:dyDescent="0.25">
      <c r="A8279" t="str">
        <f>T("   846019")</f>
        <v xml:space="preserve">   846019</v>
      </c>
      <c r="B8279" t="str">
        <f>T("   Machines à rectifier les surfaces planes dont le positionnement dans un des axes peut être réglé à au moins 0,01 mm près, pour le travail des métaux (autres qu'à commande numérique)")</f>
        <v xml:space="preserve">   Machines à rectifier les surfaces planes dont le positionnement dans un des axes peut être réglé à au moins 0,01 mm près, pour le travail des métaux (autres qu'à commande numérique)</v>
      </c>
      <c r="C8279">
        <v>45000</v>
      </c>
      <c r="D8279">
        <v>50</v>
      </c>
    </row>
    <row r="8280" spans="1:4" x14ac:dyDescent="0.25">
      <c r="A8280" t="str">
        <f>T("   846150")</f>
        <v xml:space="preserve">   846150</v>
      </c>
      <c r="B8280" t="str">
        <f>T("   Machines à scier ou à tronçonner, pour le travail des métaux (autres que l'outillage à main)")</f>
        <v xml:space="preserve">   Machines à scier ou à tronçonner, pour le travail des métaux (autres que l'outillage à main)</v>
      </c>
      <c r="C8280">
        <v>145000</v>
      </c>
      <c r="D8280">
        <v>150</v>
      </c>
    </row>
    <row r="8281" spans="1:4" x14ac:dyDescent="0.25">
      <c r="A8281" t="str">
        <f>T("   847010")</f>
        <v xml:space="preserve">   847010</v>
      </c>
      <c r="B8281" t="s">
        <v>457</v>
      </c>
      <c r="C8281">
        <v>102615</v>
      </c>
      <c r="D8281">
        <v>250</v>
      </c>
    </row>
    <row r="8282" spans="1:4" x14ac:dyDescent="0.25">
      <c r="A8282" t="str">
        <f>T("   847021")</f>
        <v xml:space="preserve">   847021</v>
      </c>
      <c r="B8282" t="str">
        <f>T("   Machines à calculer électroniques avec organe imprimant, raccordées au réseau (à l'excl. des machines automatiques de traitement de l'information du n° 8471)")</f>
        <v xml:space="preserve">   Machines à calculer électroniques avec organe imprimant, raccordées au réseau (à l'excl. des machines automatiques de traitement de l'information du n° 8471)</v>
      </c>
      <c r="C8282">
        <v>270000</v>
      </c>
      <c r="D8282">
        <v>300</v>
      </c>
    </row>
    <row r="8283" spans="1:4" x14ac:dyDescent="0.25">
      <c r="A8283" t="str">
        <f>T("   847110")</f>
        <v xml:space="preserve">   847110</v>
      </c>
      <c r="B8283" t="str">
        <f>T("   Machines automatiques de traitement de l'information, analogiques ou hybrides")</f>
        <v xml:space="preserve">   Machines automatiques de traitement de l'information, analogiques ou hybrides</v>
      </c>
      <c r="C8283">
        <v>11419500</v>
      </c>
      <c r="D8283">
        <v>1964</v>
      </c>
    </row>
    <row r="8284" spans="1:4" x14ac:dyDescent="0.25">
      <c r="A8284" t="str">
        <f>T("   847149")</f>
        <v xml:space="preserve">   847149</v>
      </c>
      <c r="B8284" t="s">
        <v>459</v>
      </c>
      <c r="C8284">
        <v>59550000</v>
      </c>
      <c r="D8284">
        <v>27500</v>
      </c>
    </row>
    <row r="8285" spans="1:4" x14ac:dyDescent="0.25">
      <c r="A8285" t="str">
        <f>T("   847160")</f>
        <v xml:space="preserve">   847160</v>
      </c>
      <c r="B8285"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285">
        <v>941637</v>
      </c>
      <c r="D8285">
        <v>0.2</v>
      </c>
    </row>
    <row r="8286" spans="1:4" x14ac:dyDescent="0.25">
      <c r="A8286" t="str">
        <f>T("   847180")</f>
        <v xml:space="preserve">   847180</v>
      </c>
      <c r="B828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286">
        <v>69700</v>
      </c>
      <c r="D8286">
        <v>13</v>
      </c>
    </row>
    <row r="8287" spans="1:4" x14ac:dyDescent="0.25">
      <c r="A8287" t="str">
        <f>T("   847190")</f>
        <v xml:space="preserve">   847190</v>
      </c>
      <c r="B828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287">
        <v>62368877</v>
      </c>
      <c r="D8287">
        <v>39051</v>
      </c>
    </row>
    <row r="8288" spans="1:4" x14ac:dyDescent="0.25">
      <c r="A8288" t="str">
        <f>T("   847220")</f>
        <v xml:space="preserve">   847220</v>
      </c>
      <c r="B8288" t="s">
        <v>461</v>
      </c>
      <c r="C8288">
        <v>2375083</v>
      </c>
      <c r="D8288">
        <v>20</v>
      </c>
    </row>
    <row r="8289" spans="1:4" x14ac:dyDescent="0.25">
      <c r="A8289" t="str">
        <f>T("   847290")</f>
        <v xml:space="preserve">   847290</v>
      </c>
      <c r="B8289" t="str">
        <f>T("   Machines et appareils de bureau, n.d.a.")</f>
        <v xml:space="preserve">   Machines et appareils de bureau, n.d.a.</v>
      </c>
      <c r="C8289">
        <v>60000</v>
      </c>
      <c r="D8289">
        <v>50</v>
      </c>
    </row>
    <row r="8290" spans="1:4" x14ac:dyDescent="0.25">
      <c r="A8290" t="str">
        <f>T("   847420")</f>
        <v xml:space="preserve">   847420</v>
      </c>
      <c r="B8290" t="str">
        <f>T("   Machines et appareils à concasser, broyer ou pulvériser les matières minérales solides")</f>
        <v xml:space="preserve">   Machines et appareils à concasser, broyer ou pulvériser les matières minérales solides</v>
      </c>
      <c r="C8290">
        <v>688000</v>
      </c>
      <c r="D8290">
        <v>300</v>
      </c>
    </row>
    <row r="8291" spans="1:4" x14ac:dyDescent="0.25">
      <c r="A8291" t="str">
        <f>T("   847431")</f>
        <v xml:space="preserve">   847431</v>
      </c>
      <c r="B829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8291">
        <v>155400</v>
      </c>
      <c r="D8291">
        <v>150</v>
      </c>
    </row>
    <row r="8292" spans="1:4" x14ac:dyDescent="0.25">
      <c r="A8292" t="str">
        <f>T("   847480")</f>
        <v xml:space="preserve">   847480</v>
      </c>
      <c r="B8292" t="s">
        <v>462</v>
      </c>
      <c r="C8292">
        <v>21859200</v>
      </c>
      <c r="D8292">
        <v>10000</v>
      </c>
    </row>
    <row r="8293" spans="1:4" x14ac:dyDescent="0.25">
      <c r="A8293" t="str">
        <f>T("   847710")</f>
        <v xml:space="preserve">   847710</v>
      </c>
      <c r="B8293" t="str">
        <f>T("   Machines à mouler par injection pour le travail du caoutchouc ou des matières plastiques ou pour la fabrication de produits en ces matières")</f>
        <v xml:space="preserve">   Machines à mouler par injection pour le travail du caoutchouc ou des matières plastiques ou pour la fabrication de produits en ces matières</v>
      </c>
      <c r="C8293">
        <v>850000</v>
      </c>
      <c r="D8293">
        <v>600</v>
      </c>
    </row>
    <row r="8294" spans="1:4" x14ac:dyDescent="0.25">
      <c r="A8294" t="str">
        <f>T("   847759")</f>
        <v xml:space="preserve">   847759</v>
      </c>
      <c r="B8294" t="s">
        <v>463</v>
      </c>
      <c r="C8294">
        <v>175398</v>
      </c>
      <c r="D8294">
        <v>200</v>
      </c>
    </row>
    <row r="8295" spans="1:4" x14ac:dyDescent="0.25">
      <c r="A8295" t="str">
        <f>T("   847780")</f>
        <v xml:space="preserve">   847780</v>
      </c>
      <c r="B8295"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8295">
        <v>1788480</v>
      </c>
      <c r="D8295">
        <v>2000</v>
      </c>
    </row>
    <row r="8296" spans="1:4" x14ac:dyDescent="0.25">
      <c r="A8296" t="str">
        <f>T("   847910")</f>
        <v xml:space="preserve">   847910</v>
      </c>
      <c r="B8296" t="str">
        <f>T("   Machines et appareils pour les travaux publics, le bâtiment ou les travaux analogues, n.d.a.")</f>
        <v xml:space="preserve">   Machines et appareils pour les travaux publics, le bâtiment ou les travaux analogues, n.d.a.</v>
      </c>
      <c r="C8296">
        <v>160000</v>
      </c>
      <c r="D8296">
        <v>100</v>
      </c>
    </row>
    <row r="8297" spans="1:4" x14ac:dyDescent="0.25">
      <c r="A8297" t="str">
        <f>T("   847990")</f>
        <v xml:space="preserve">   847990</v>
      </c>
      <c r="B8297" t="str">
        <f>T("   Parties de machines et appareils, y.c. les appareils mécaniques, n.d.a.")</f>
        <v xml:space="preserve">   Parties de machines et appareils, y.c. les appareils mécaniques, n.d.a.</v>
      </c>
      <c r="C8297">
        <v>2657338</v>
      </c>
      <c r="D8297">
        <v>1526</v>
      </c>
    </row>
    <row r="8298" spans="1:4" x14ac:dyDescent="0.25">
      <c r="A8298" t="str">
        <f>T("   848041")</f>
        <v xml:space="preserve">   848041</v>
      </c>
      <c r="B8298"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8298">
        <v>52500</v>
      </c>
      <c r="D8298">
        <v>100</v>
      </c>
    </row>
    <row r="8299" spans="1:4" x14ac:dyDescent="0.25">
      <c r="A8299" t="str">
        <f>T("   848180")</f>
        <v xml:space="preserve">   848180</v>
      </c>
      <c r="B829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299">
        <v>13345000</v>
      </c>
      <c r="D8299">
        <v>13275</v>
      </c>
    </row>
    <row r="8300" spans="1:4" x14ac:dyDescent="0.25">
      <c r="A8300" t="str">
        <f>T("   850132")</f>
        <v xml:space="preserve">   850132</v>
      </c>
      <c r="B8300" t="str">
        <f>T("   Moteurs et génératrices à courant continu, puissance &gt; 750 W mais &lt;= 75 kW")</f>
        <v xml:space="preserve">   Moteurs et génératrices à courant continu, puissance &gt; 750 W mais &lt;= 75 kW</v>
      </c>
      <c r="C8300">
        <v>960068</v>
      </c>
      <c r="D8300">
        <v>100</v>
      </c>
    </row>
    <row r="8301" spans="1:4" x14ac:dyDescent="0.25">
      <c r="A8301" t="str">
        <f>T("   850211")</f>
        <v xml:space="preserve">   850211</v>
      </c>
      <c r="B8301" t="s">
        <v>470</v>
      </c>
      <c r="C8301">
        <v>12324110</v>
      </c>
      <c r="D8301">
        <v>7200</v>
      </c>
    </row>
    <row r="8302" spans="1:4" x14ac:dyDescent="0.25">
      <c r="A8302" t="str">
        <f>T("   850220")</f>
        <v xml:space="preserve">   850220</v>
      </c>
      <c r="B8302" t="s">
        <v>472</v>
      </c>
      <c r="C8302">
        <v>581462760</v>
      </c>
      <c r="D8302">
        <v>699200</v>
      </c>
    </row>
    <row r="8303" spans="1:4" x14ac:dyDescent="0.25">
      <c r="A8303" t="str">
        <f>T("   850239")</f>
        <v xml:space="preserve">   850239</v>
      </c>
      <c r="B8303" t="str">
        <f>T("   Groupes électrogènes (autres qu'à énergie éolienne et à moteurs à piston)")</f>
        <v xml:space="preserve">   Groupes électrogènes (autres qu'à énergie éolienne et à moteurs à piston)</v>
      </c>
      <c r="C8303">
        <v>75550834</v>
      </c>
      <c r="D8303">
        <v>9740</v>
      </c>
    </row>
    <row r="8304" spans="1:4" x14ac:dyDescent="0.25">
      <c r="A8304" t="str">
        <f>T("   850300")</f>
        <v xml:space="preserve">   850300</v>
      </c>
      <c r="B8304"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304">
        <v>155000</v>
      </c>
      <c r="D8304">
        <v>155</v>
      </c>
    </row>
    <row r="8305" spans="1:4" x14ac:dyDescent="0.25">
      <c r="A8305" t="str">
        <f>T("   850431")</f>
        <v xml:space="preserve">   850431</v>
      </c>
      <c r="B8305" t="str">
        <f>T("   Transformateurs à sec, puissance &lt;= 1 kVA")</f>
        <v xml:space="preserve">   Transformateurs à sec, puissance &lt;= 1 kVA</v>
      </c>
      <c r="C8305">
        <v>199875</v>
      </c>
      <c r="D8305">
        <v>355</v>
      </c>
    </row>
    <row r="8306" spans="1:4" x14ac:dyDescent="0.25">
      <c r="A8306" t="str">
        <f>T("   850432")</f>
        <v xml:space="preserve">   850432</v>
      </c>
      <c r="B8306" t="str">
        <f>T("   Transformateurs à sec, puissance &gt; 1 kVA mais &lt;= 16 kVA")</f>
        <v xml:space="preserve">   Transformateurs à sec, puissance &gt; 1 kVA mais &lt;= 16 kVA</v>
      </c>
      <c r="C8306">
        <v>7035600</v>
      </c>
      <c r="D8306">
        <v>13850</v>
      </c>
    </row>
    <row r="8307" spans="1:4" x14ac:dyDescent="0.25">
      <c r="A8307" t="str">
        <f>T("   850433")</f>
        <v xml:space="preserve">   850433</v>
      </c>
      <c r="B8307" t="str">
        <f>T("   Transformateurs à sec, puissance &gt; 16 kVA mais &lt;= 500 kVA")</f>
        <v xml:space="preserve">   Transformateurs à sec, puissance &gt; 16 kVA mais &lt;= 500 kVA</v>
      </c>
      <c r="C8307">
        <v>1058000</v>
      </c>
      <c r="D8307">
        <v>500</v>
      </c>
    </row>
    <row r="8308" spans="1:4" x14ac:dyDescent="0.25">
      <c r="A8308" t="str">
        <f>T("   850690")</f>
        <v xml:space="preserve">   850690</v>
      </c>
      <c r="B8308" t="str">
        <f>T("   Parties de piles et batteries de piles électriques n.d.a.")</f>
        <v xml:space="preserve">   Parties de piles et batteries de piles électriques n.d.a.</v>
      </c>
      <c r="C8308">
        <v>57600</v>
      </c>
      <c r="D8308">
        <v>96</v>
      </c>
    </row>
    <row r="8309" spans="1:4" x14ac:dyDescent="0.25">
      <c r="A8309" t="str">
        <f>T("   850710")</f>
        <v xml:space="preserve">   850710</v>
      </c>
      <c r="B8309" t="str">
        <f>T("   Accumulateurs au plomb, pour le démarrage des moteurs à piston (sauf hors d'usage)")</f>
        <v xml:space="preserve">   Accumulateurs au plomb, pour le démarrage des moteurs à piston (sauf hors d'usage)</v>
      </c>
      <c r="C8309">
        <v>62273500</v>
      </c>
      <c r="D8309">
        <v>100770</v>
      </c>
    </row>
    <row r="8310" spans="1:4" x14ac:dyDescent="0.25">
      <c r="A8310" t="str">
        <f>T("   850720")</f>
        <v xml:space="preserve">   850720</v>
      </c>
      <c r="B8310" t="str">
        <f>T("   Accumulateurs au plomb (sauf hors d'usage et autres que pour le démarrage des moteurs à piston)")</f>
        <v xml:space="preserve">   Accumulateurs au plomb (sauf hors d'usage et autres que pour le démarrage des moteurs à piston)</v>
      </c>
      <c r="C8310">
        <v>300000</v>
      </c>
      <c r="D8310">
        <v>300</v>
      </c>
    </row>
    <row r="8311" spans="1:4" x14ac:dyDescent="0.25">
      <c r="A8311" t="str">
        <f>T("   850780")</f>
        <v xml:space="preserve">   850780</v>
      </c>
      <c r="B8311" t="str">
        <f>T("   Accumulateurs électriques (sauf hors d'usage et autres qu'au plomb, au nickel-cadmium ou au nickel-fer)")</f>
        <v xml:space="preserve">   Accumulateurs électriques (sauf hors d'usage et autres qu'au plomb, au nickel-cadmium ou au nickel-fer)</v>
      </c>
      <c r="C8311">
        <v>5312550</v>
      </c>
      <c r="D8311">
        <v>7950</v>
      </c>
    </row>
    <row r="8312" spans="1:4" x14ac:dyDescent="0.25">
      <c r="A8312" t="str">
        <f>T("   850980")</f>
        <v xml:space="preserve">   850980</v>
      </c>
      <c r="B8312" t="s">
        <v>473</v>
      </c>
      <c r="C8312">
        <v>29000</v>
      </c>
      <c r="D8312">
        <v>100</v>
      </c>
    </row>
    <row r="8313" spans="1:4" x14ac:dyDescent="0.25">
      <c r="A8313" t="str">
        <f>T("   851220")</f>
        <v xml:space="preserve">   851220</v>
      </c>
      <c r="B8313" t="str">
        <f>T("   Appareils électriques d'éclairage ou de signalisation visuelle, pour automobiles (à l'excl. des lampes du n° 8539)")</f>
        <v xml:space="preserve">   Appareils électriques d'éclairage ou de signalisation visuelle, pour automobiles (à l'excl. des lampes du n° 8539)</v>
      </c>
      <c r="C8313">
        <v>380000</v>
      </c>
      <c r="D8313">
        <v>500</v>
      </c>
    </row>
    <row r="8314" spans="1:4" x14ac:dyDescent="0.25">
      <c r="A8314" t="str">
        <f>T("   851310")</f>
        <v xml:space="preserve">   851310</v>
      </c>
      <c r="B8314" t="str">
        <f>T("   Lampes électriques portatives, destinées à fonctionner au moyen de leur propre source d'énergie")</f>
        <v xml:space="preserve">   Lampes électriques portatives, destinées à fonctionner au moyen de leur propre source d'énergie</v>
      </c>
      <c r="C8314">
        <v>864200</v>
      </c>
      <c r="D8314">
        <v>1374</v>
      </c>
    </row>
    <row r="8315" spans="1:4" x14ac:dyDescent="0.25">
      <c r="A8315" t="str">
        <f>T("   851539")</f>
        <v xml:space="preserve">   851539</v>
      </c>
      <c r="B8315" t="str">
        <f>T("   MACHINES ET APPAREILS POUR LE SOUDAGE DES MÉTAUX À L'ARC OU AU JET DE PLASMA, NON-AUTOMATIQUES")</f>
        <v xml:space="preserve">   MACHINES ET APPAREILS POUR LE SOUDAGE DES MÉTAUX À L'ARC OU AU JET DE PLASMA, NON-AUTOMATIQUES</v>
      </c>
      <c r="C8315">
        <v>8893506</v>
      </c>
      <c r="D8315">
        <v>150</v>
      </c>
    </row>
    <row r="8316" spans="1:4" x14ac:dyDescent="0.25">
      <c r="A8316" t="str">
        <f>T("   851610")</f>
        <v xml:space="preserve">   851610</v>
      </c>
      <c r="B8316" t="str">
        <f>T("   Chauffe-eau et thermoplongeurs électriques")</f>
        <v xml:space="preserve">   Chauffe-eau et thermoplongeurs électriques</v>
      </c>
      <c r="C8316">
        <v>67400</v>
      </c>
      <c r="D8316">
        <v>100</v>
      </c>
    </row>
    <row r="8317" spans="1:4" x14ac:dyDescent="0.25">
      <c r="A8317" t="str">
        <f>T("   851631")</f>
        <v xml:space="preserve">   851631</v>
      </c>
      <c r="B8317" t="str">
        <f>T("   Sèche-cheveux électriques")</f>
        <v xml:space="preserve">   Sèche-cheveux électriques</v>
      </c>
      <c r="C8317">
        <v>94800</v>
      </c>
      <c r="D8317">
        <v>165</v>
      </c>
    </row>
    <row r="8318" spans="1:4" x14ac:dyDescent="0.25">
      <c r="A8318" t="str">
        <f>T("   851640")</f>
        <v xml:space="preserve">   851640</v>
      </c>
      <c r="B8318" t="str">
        <f>T("   Fers à repasser électriques")</f>
        <v xml:space="preserve">   Fers à repasser électriques</v>
      </c>
      <c r="C8318">
        <v>50000</v>
      </c>
      <c r="D8318">
        <v>50</v>
      </c>
    </row>
    <row r="8319" spans="1:4" x14ac:dyDescent="0.25">
      <c r="A8319" t="str">
        <f>T("   851650")</f>
        <v xml:space="preserve">   851650</v>
      </c>
      <c r="B8319" t="str">
        <f>T("   Fours à micro-ondes")</f>
        <v xml:space="preserve">   Fours à micro-ondes</v>
      </c>
      <c r="C8319">
        <v>18000</v>
      </c>
      <c r="D8319">
        <v>50</v>
      </c>
    </row>
    <row r="8320" spans="1:4" x14ac:dyDescent="0.25">
      <c r="A8320" t="str">
        <f>T("   851679")</f>
        <v xml:space="preserve">   851679</v>
      </c>
      <c r="B8320" t="s">
        <v>478</v>
      </c>
      <c r="C8320">
        <v>70000</v>
      </c>
      <c r="D8320">
        <v>100</v>
      </c>
    </row>
    <row r="8321" spans="1:4" x14ac:dyDescent="0.25">
      <c r="A8321" t="str">
        <f>T("   851719")</f>
        <v xml:space="preserve">   851719</v>
      </c>
      <c r="B8321"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8321">
        <v>453600</v>
      </c>
      <c r="D8321">
        <v>25</v>
      </c>
    </row>
    <row r="8322" spans="1:4" x14ac:dyDescent="0.25">
      <c r="A8322" t="str">
        <f>T("   851721")</f>
        <v xml:space="preserve">   851721</v>
      </c>
      <c r="B8322" t="str">
        <f>T("   Télécopieurs pour la téléphonie par fil")</f>
        <v xml:space="preserve">   Télécopieurs pour la téléphonie par fil</v>
      </c>
      <c r="C8322">
        <v>100000</v>
      </c>
      <c r="D8322">
        <v>100</v>
      </c>
    </row>
    <row r="8323" spans="1:4" x14ac:dyDescent="0.25">
      <c r="A8323" t="str">
        <f>T("   851769")</f>
        <v xml:space="preserve">   851769</v>
      </c>
      <c r="B8323" t="s">
        <v>481</v>
      </c>
      <c r="C8323">
        <v>33084250</v>
      </c>
      <c r="D8323">
        <v>16737.2</v>
      </c>
    </row>
    <row r="8324" spans="1:4" x14ac:dyDescent="0.25">
      <c r="A8324" t="str">
        <f>T("   851781")</f>
        <v xml:space="preserve">   851781</v>
      </c>
      <c r="B8324" t="str">
        <f>T("   APPAREILS ÉLECTRIQUES POUR LA TELEPHONIE PAR FIL (AUTRES QUE POSTES TELEPHONIQUES D'USAGERS, APPAREILS DE COMMUTATION ET EMETTEUR-RÉCEPTEUR POUR LA TELECOMMUNICATION PAR COURANT PORTEUR)")</f>
        <v xml:space="preserve">   APPAREILS ÉLECTRIQUES POUR LA TELEPHONIE PAR FIL (AUTRES QUE POSTES TELEPHONIQUES D'USAGERS, APPAREILS DE COMMUTATION ET EMETTEUR-RÉCEPTEUR POUR LA TELECOMMUNICATION PAR COURANT PORTEUR)</v>
      </c>
      <c r="C8324">
        <v>157880</v>
      </c>
      <c r="D8324">
        <v>100</v>
      </c>
    </row>
    <row r="8325" spans="1:4" x14ac:dyDescent="0.25">
      <c r="A8325" t="str">
        <f>T("   851821")</f>
        <v xml:space="preserve">   851821</v>
      </c>
      <c r="B8325" t="str">
        <f>T("   Haut-parleur unique monté dans son enceinte")</f>
        <v xml:space="preserve">   Haut-parleur unique monté dans son enceinte</v>
      </c>
      <c r="C8325">
        <v>316000</v>
      </c>
      <c r="D8325">
        <v>190</v>
      </c>
    </row>
    <row r="8326" spans="1:4" x14ac:dyDescent="0.25">
      <c r="A8326" t="str">
        <f>T("   851840")</f>
        <v xml:space="preserve">   851840</v>
      </c>
      <c r="B8326" t="str">
        <f>T("   Amplificateurs électriques d'audiofréquence")</f>
        <v xml:space="preserve">   Amplificateurs électriques d'audiofréquence</v>
      </c>
      <c r="C8326">
        <v>45000</v>
      </c>
      <c r="D8326">
        <v>30</v>
      </c>
    </row>
    <row r="8327" spans="1:4" x14ac:dyDescent="0.25">
      <c r="A8327" t="str">
        <f>T("   851850")</f>
        <v xml:space="preserve">   851850</v>
      </c>
      <c r="B8327" t="str">
        <f>T("   Appareils électriques d'amplification du son")</f>
        <v xml:space="preserve">   Appareils électriques d'amplification du son</v>
      </c>
      <c r="C8327">
        <v>628000</v>
      </c>
      <c r="D8327">
        <v>530</v>
      </c>
    </row>
    <row r="8328" spans="1:4" x14ac:dyDescent="0.25">
      <c r="A8328" t="str">
        <f>T("   851890")</f>
        <v xml:space="preserve">   851890</v>
      </c>
      <c r="B8328"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8328">
        <v>302337</v>
      </c>
      <c r="D8328">
        <v>350</v>
      </c>
    </row>
    <row r="8329" spans="1:4" x14ac:dyDescent="0.25">
      <c r="A8329" t="str">
        <f>T("   852110")</f>
        <v xml:space="preserve">   852110</v>
      </c>
      <c r="B8329" t="s">
        <v>486</v>
      </c>
      <c r="C8329">
        <v>312000</v>
      </c>
      <c r="D8329">
        <v>300</v>
      </c>
    </row>
    <row r="8330" spans="1:4" x14ac:dyDescent="0.25">
      <c r="A8330" t="str">
        <f>T("   852290")</f>
        <v xml:space="preserve">   852290</v>
      </c>
      <c r="B8330" t="s">
        <v>488</v>
      </c>
      <c r="C8330">
        <v>7877000</v>
      </c>
      <c r="D8330">
        <v>11020</v>
      </c>
    </row>
    <row r="8331" spans="1:4" x14ac:dyDescent="0.25">
      <c r="A8331" t="str">
        <f>T("   852321")</f>
        <v xml:space="preserve">   852321</v>
      </c>
      <c r="B8331" t="str">
        <f>T("   CARTES MUNIES D'UNE PISTE MAGNÉTIQUE POUR L'ENREGISTREMENT DU SON OU POUR ENREGISTREMENTS ANALOGUES")</f>
        <v xml:space="preserve">   CARTES MUNIES D'UNE PISTE MAGNÉTIQUE POUR L'ENREGISTREMENT DU SON OU POUR ENREGISTREMENTS ANALOGUES</v>
      </c>
      <c r="C8331">
        <v>1195144</v>
      </c>
      <c r="D8331">
        <v>83.5</v>
      </c>
    </row>
    <row r="8332" spans="1:4" x14ac:dyDescent="0.25">
      <c r="A8332" t="str">
        <f>T("   852329")</f>
        <v xml:space="preserve">   852329</v>
      </c>
      <c r="B8332"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8332">
        <v>952560</v>
      </c>
      <c r="D8332">
        <v>4500</v>
      </c>
    </row>
    <row r="8333" spans="1:4" x14ac:dyDescent="0.25">
      <c r="A8333" t="str">
        <f>T("   852352")</f>
        <v xml:space="preserve">   852352</v>
      </c>
      <c r="B8333" t="str">
        <f>T("   CARTES MUNIES D'UN OU PLUSIEURS CIRCUITS INTÉGRÉS ÉLECTRONIQUES [CARTES INTELLIGENTES]")</f>
        <v xml:space="preserve">   CARTES MUNIES D'UN OU PLUSIEURS CIRCUITS INTÉGRÉS ÉLECTRONIQUES [CARTES INTELLIGENTES]</v>
      </c>
      <c r="C8333">
        <v>187604560</v>
      </c>
      <c r="D8333">
        <v>4784</v>
      </c>
    </row>
    <row r="8334" spans="1:4" x14ac:dyDescent="0.25">
      <c r="A8334" t="str">
        <f>T("   852359")</f>
        <v xml:space="preserve">   852359</v>
      </c>
      <c r="B8334" t="s">
        <v>489</v>
      </c>
      <c r="C8334">
        <v>66484800</v>
      </c>
      <c r="D8334">
        <v>5000</v>
      </c>
    </row>
    <row r="8335" spans="1:4" x14ac:dyDescent="0.25">
      <c r="A8335" t="str">
        <f>T("   852390")</f>
        <v xml:space="preserve">   852390</v>
      </c>
      <c r="B8335"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8335">
        <v>50000</v>
      </c>
      <c r="D8335">
        <v>50</v>
      </c>
    </row>
    <row r="8336" spans="1:4" x14ac:dyDescent="0.25">
      <c r="A8336" t="str">
        <f>T("   852432")</f>
        <v xml:space="preserve">   852432</v>
      </c>
      <c r="B8336" t="str">
        <f>T("   Disques enregistrés pour systèmes de lecture optique par faisceau laser, pour la reproduction du son uniquement")</f>
        <v xml:space="preserve">   Disques enregistrés pour systèmes de lecture optique par faisceau laser, pour la reproduction du son uniquement</v>
      </c>
      <c r="C8336">
        <v>679700</v>
      </c>
      <c r="D8336">
        <v>1293</v>
      </c>
    </row>
    <row r="8337" spans="1:4" x14ac:dyDescent="0.25">
      <c r="A8337" t="str">
        <f>T("   852439")</f>
        <v xml:space="preserve">   852439</v>
      </c>
      <c r="B833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8337">
        <v>85540</v>
      </c>
      <c r="D8337">
        <v>215</v>
      </c>
    </row>
    <row r="8338" spans="1:4" x14ac:dyDescent="0.25">
      <c r="A8338" t="str">
        <f>T("   852460")</f>
        <v xml:space="preserve">   852460</v>
      </c>
      <c r="B8338" t="str">
        <f>T("   Cartes munies d'une piste magnétique enregistrée")</f>
        <v xml:space="preserve">   Cartes munies d'une piste magnétique enregistrée</v>
      </c>
      <c r="C8338">
        <v>182352</v>
      </c>
      <c r="D8338">
        <v>18</v>
      </c>
    </row>
    <row r="8339" spans="1:4" x14ac:dyDescent="0.25">
      <c r="A8339" t="str">
        <f>T("   852520")</f>
        <v xml:space="preserve">   852520</v>
      </c>
      <c r="B8339"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8339">
        <v>7968500</v>
      </c>
      <c r="D8339">
        <v>4490</v>
      </c>
    </row>
    <row r="8340" spans="1:4" x14ac:dyDescent="0.25">
      <c r="A8340" t="str">
        <f>T("   852713")</f>
        <v xml:space="preserve">   852713</v>
      </c>
      <c r="B8340"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340">
        <v>491620</v>
      </c>
      <c r="D8340">
        <v>820</v>
      </c>
    </row>
    <row r="8341" spans="1:4" x14ac:dyDescent="0.25">
      <c r="A8341" t="str">
        <f>T("   852719")</f>
        <v xml:space="preserve">   852719</v>
      </c>
      <c r="B8341"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341">
        <v>4721000</v>
      </c>
      <c r="D8341">
        <v>5400</v>
      </c>
    </row>
    <row r="8342" spans="1:4" x14ac:dyDescent="0.25">
      <c r="A8342" t="str">
        <f>T("   852799")</f>
        <v xml:space="preserve">   852799</v>
      </c>
      <c r="B8342"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8342">
        <v>910428</v>
      </c>
      <c r="D8342">
        <v>10</v>
      </c>
    </row>
    <row r="8343" spans="1:4" x14ac:dyDescent="0.25">
      <c r="A8343" t="str">
        <f>T("   852810")</f>
        <v xml:space="preserve">   852810</v>
      </c>
      <c r="B8343" t="s">
        <v>493</v>
      </c>
      <c r="C8343">
        <v>125730</v>
      </c>
      <c r="D8343">
        <v>250</v>
      </c>
    </row>
    <row r="8344" spans="1:4" x14ac:dyDescent="0.25">
      <c r="A8344" t="str">
        <f>T("   852812")</f>
        <v xml:space="preserve">   852812</v>
      </c>
      <c r="B834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344">
        <v>182869770</v>
      </c>
      <c r="D8344">
        <v>676450</v>
      </c>
    </row>
    <row r="8345" spans="1:4" x14ac:dyDescent="0.25">
      <c r="A8345" t="str">
        <f>T("   852871")</f>
        <v xml:space="preserve">   852871</v>
      </c>
      <c r="B8345"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8345">
        <v>403949</v>
      </c>
      <c r="D8345">
        <v>10</v>
      </c>
    </row>
    <row r="8346" spans="1:4" x14ac:dyDescent="0.25">
      <c r="A8346" t="str">
        <f>T("   852910")</f>
        <v xml:space="preserve">   852910</v>
      </c>
      <c r="B834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346">
        <v>10656500</v>
      </c>
      <c r="D8346">
        <v>7450</v>
      </c>
    </row>
    <row r="8347" spans="1:4" x14ac:dyDescent="0.25">
      <c r="A8347" t="str">
        <f>T("   853649")</f>
        <v xml:space="preserve">   853649</v>
      </c>
      <c r="B8347" t="str">
        <f>T("   Relais, pour une tension &gt; 60 V mais &lt;= 1.000 V")</f>
        <v xml:space="preserve">   Relais, pour une tension &gt; 60 V mais &lt;= 1.000 V</v>
      </c>
      <c r="C8347">
        <v>13251000</v>
      </c>
      <c r="D8347">
        <v>19029</v>
      </c>
    </row>
    <row r="8348" spans="1:4" x14ac:dyDescent="0.25">
      <c r="A8348" t="str">
        <f>T("   853669")</f>
        <v xml:space="preserve">   853669</v>
      </c>
      <c r="B8348" t="str">
        <f>T("   Fiches et prises de courant, pour une tension &lt;= 1.000 V (sauf douilles pour lampes)")</f>
        <v xml:space="preserve">   Fiches et prises de courant, pour une tension &lt;= 1.000 V (sauf douilles pour lampes)</v>
      </c>
      <c r="C8348">
        <v>661086</v>
      </c>
      <c r="D8348">
        <v>1100</v>
      </c>
    </row>
    <row r="8349" spans="1:4" x14ac:dyDescent="0.25">
      <c r="A8349" t="str">
        <f>T("   853690")</f>
        <v xml:space="preserve">   853690</v>
      </c>
      <c r="B8349" t="s">
        <v>499</v>
      </c>
      <c r="C8349">
        <v>144982</v>
      </c>
      <c r="D8349">
        <v>3</v>
      </c>
    </row>
    <row r="8350" spans="1:4" x14ac:dyDescent="0.25">
      <c r="A8350" t="str">
        <f>T("   853929")</f>
        <v xml:space="preserve">   853929</v>
      </c>
      <c r="B8350"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350">
        <v>5425000</v>
      </c>
      <c r="D8350">
        <v>16100</v>
      </c>
    </row>
    <row r="8351" spans="1:4" x14ac:dyDescent="0.25">
      <c r="A8351" t="str">
        <f>T("   853931")</f>
        <v xml:space="preserve">   853931</v>
      </c>
      <c r="B8351" t="str">
        <f>T("   Lampes et tubes à décharge, fluorescents, à cathode chaude")</f>
        <v xml:space="preserve">   Lampes et tubes à décharge, fluorescents, à cathode chaude</v>
      </c>
      <c r="C8351">
        <v>164335000</v>
      </c>
      <c r="D8351">
        <v>267060</v>
      </c>
    </row>
    <row r="8352" spans="1:4" x14ac:dyDescent="0.25">
      <c r="A8352" t="str">
        <f>T("   854420")</f>
        <v xml:space="preserve">   854420</v>
      </c>
      <c r="B8352" t="str">
        <f>T("   Câbles coaxiaux et autres conducteurs électriques coaxiaux, isolés")</f>
        <v xml:space="preserve">   Câbles coaxiaux et autres conducteurs électriques coaxiaux, isolés</v>
      </c>
      <c r="C8352">
        <v>5334875</v>
      </c>
      <c r="D8352">
        <v>9102</v>
      </c>
    </row>
    <row r="8353" spans="1:4" x14ac:dyDescent="0.25">
      <c r="A8353" t="str">
        <f>T("   854459")</f>
        <v xml:space="preserve">   854459</v>
      </c>
      <c r="B8353" t="str">
        <f>T("   Conducteurs électriques, pour tension &gt; 80 V mais &lt;= 1.000 V, sans pièces de connexion, n.d.a.")</f>
        <v xml:space="preserve">   Conducteurs électriques, pour tension &gt; 80 V mais &lt;= 1.000 V, sans pièces de connexion, n.d.a.</v>
      </c>
      <c r="C8353">
        <v>10040400</v>
      </c>
      <c r="D8353">
        <v>77901</v>
      </c>
    </row>
    <row r="8354" spans="1:4" x14ac:dyDescent="0.25">
      <c r="A8354" t="str">
        <f>T("   870110")</f>
        <v xml:space="preserve">   870110</v>
      </c>
      <c r="B8354"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8354">
        <v>741600</v>
      </c>
      <c r="D8354">
        <v>5005</v>
      </c>
    </row>
    <row r="8355" spans="1:4" x14ac:dyDescent="0.25">
      <c r="A8355" t="str">
        <f>T("   870120")</f>
        <v xml:space="preserve">   870120</v>
      </c>
      <c r="B8355" t="str">
        <f>T("   Tracteurs routiers pour semi-remorques")</f>
        <v xml:space="preserve">   Tracteurs routiers pour semi-remorques</v>
      </c>
      <c r="C8355">
        <v>38000000</v>
      </c>
      <c r="D8355">
        <v>27000</v>
      </c>
    </row>
    <row r="8356" spans="1:4" x14ac:dyDescent="0.25">
      <c r="A8356" t="str">
        <f>T("   870210")</f>
        <v xml:space="preserve">   870210</v>
      </c>
      <c r="B8356" t="s">
        <v>503</v>
      </c>
      <c r="C8356">
        <v>2400000</v>
      </c>
      <c r="D8356">
        <v>3000</v>
      </c>
    </row>
    <row r="8357" spans="1:4" x14ac:dyDescent="0.25">
      <c r="A8357" t="str">
        <f>T("   870322")</f>
        <v xml:space="preserve">   870322</v>
      </c>
      <c r="B8357" t="s">
        <v>506</v>
      </c>
      <c r="C8357">
        <v>8381832</v>
      </c>
      <c r="D8357">
        <v>4250</v>
      </c>
    </row>
    <row r="8358" spans="1:4" x14ac:dyDescent="0.25">
      <c r="A8358" t="str">
        <f>T("   870323")</f>
        <v xml:space="preserve">   870323</v>
      </c>
      <c r="B8358" t="s">
        <v>507</v>
      </c>
      <c r="C8358">
        <v>10589186</v>
      </c>
      <c r="D8358">
        <v>5000</v>
      </c>
    </row>
    <row r="8359" spans="1:4" x14ac:dyDescent="0.25">
      <c r="A8359" t="str">
        <f>T("   870324")</f>
        <v xml:space="preserve">   870324</v>
      </c>
      <c r="B8359" t="s">
        <v>508</v>
      </c>
      <c r="C8359">
        <v>4842170</v>
      </c>
      <c r="D8359">
        <v>1905</v>
      </c>
    </row>
    <row r="8360" spans="1:4" x14ac:dyDescent="0.25">
      <c r="A8360" t="str">
        <f>T("   870333")</f>
        <v xml:space="preserve">   870333</v>
      </c>
      <c r="B8360" t="s">
        <v>511</v>
      </c>
      <c r="C8360">
        <v>17745566</v>
      </c>
      <c r="D8360">
        <v>6420</v>
      </c>
    </row>
    <row r="8361" spans="1:4" x14ac:dyDescent="0.25">
      <c r="A8361" t="str">
        <f>T("   870421")</f>
        <v xml:space="preserve">   870421</v>
      </c>
      <c r="B8361" t="s">
        <v>512</v>
      </c>
      <c r="C8361">
        <v>12711222</v>
      </c>
      <c r="D8361">
        <v>11350</v>
      </c>
    </row>
    <row r="8362" spans="1:4" x14ac:dyDescent="0.25">
      <c r="A8362" t="str">
        <f>T("   870422")</f>
        <v xml:space="preserve">   870422</v>
      </c>
      <c r="B8362" t="s">
        <v>513</v>
      </c>
      <c r="C8362">
        <v>2000000</v>
      </c>
      <c r="D8362">
        <v>6500</v>
      </c>
    </row>
    <row r="8363" spans="1:4" x14ac:dyDescent="0.25">
      <c r="A8363" t="str">
        <f>T("   870431")</f>
        <v xml:space="preserve">   870431</v>
      </c>
      <c r="B8363" t="s">
        <v>515</v>
      </c>
      <c r="C8363">
        <v>17754184</v>
      </c>
      <c r="D8363">
        <v>27150</v>
      </c>
    </row>
    <row r="8364" spans="1:4" x14ac:dyDescent="0.25">
      <c r="A8364" t="str">
        <f>T("   870810")</f>
        <v xml:space="preserve">   870810</v>
      </c>
      <c r="B8364"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8364">
        <v>160000</v>
      </c>
      <c r="D8364">
        <v>100</v>
      </c>
    </row>
    <row r="8365" spans="1:4" x14ac:dyDescent="0.25">
      <c r="A8365" t="str">
        <f>T("   870870")</f>
        <v xml:space="preserve">   870870</v>
      </c>
      <c r="B8365"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8365">
        <v>1690000</v>
      </c>
      <c r="D8365">
        <v>1680</v>
      </c>
    </row>
    <row r="8366" spans="1:4" x14ac:dyDescent="0.25">
      <c r="A8366" t="str">
        <f>T("   870899")</f>
        <v xml:space="preserve">   870899</v>
      </c>
      <c r="B836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366">
        <v>402186968</v>
      </c>
      <c r="D8366">
        <v>301879</v>
      </c>
    </row>
    <row r="8367" spans="1:4" x14ac:dyDescent="0.25">
      <c r="A8367" t="str">
        <f>T("   871110")</f>
        <v xml:space="preserve">   871110</v>
      </c>
      <c r="B8367" t="str">
        <f>T("   Cyclomoteurs, à moteur à piston alternatif, cylindrée &lt;= 50 cm³, y.c. cycles à moteur auxiliaire")</f>
        <v xml:space="preserve">   Cyclomoteurs, à moteur à piston alternatif, cylindrée &lt;= 50 cm³, y.c. cycles à moteur auxiliaire</v>
      </c>
      <c r="C8367">
        <v>252000</v>
      </c>
      <c r="D8367">
        <v>600</v>
      </c>
    </row>
    <row r="8368" spans="1:4" x14ac:dyDescent="0.25">
      <c r="A8368" t="str">
        <f>T("   871120")</f>
        <v xml:space="preserve">   871120</v>
      </c>
      <c r="B8368" t="str">
        <f>T("   Motocycles à moteur à piston alternatif, cylindrée &gt; 50 cm³ mais &lt;= 250 cm³")</f>
        <v xml:space="preserve">   Motocycles à moteur à piston alternatif, cylindrée &gt; 50 cm³ mais &lt;= 250 cm³</v>
      </c>
      <c r="C8368">
        <v>1049736000</v>
      </c>
      <c r="D8368">
        <v>567835</v>
      </c>
    </row>
    <row r="8369" spans="1:4" x14ac:dyDescent="0.25">
      <c r="A8369" t="str">
        <f>T("   871200")</f>
        <v xml:space="preserve">   871200</v>
      </c>
      <c r="B8369" t="str">
        <f>T("   BICYCLETTES ET AUTRES CYCLES, -Y.C. LES TRIPORTEURS-, SANS MOTEUR")</f>
        <v xml:space="preserve">   BICYCLETTES ET AUTRES CYCLES, -Y.C. LES TRIPORTEURS-, SANS MOTEUR</v>
      </c>
      <c r="C8369">
        <v>816000</v>
      </c>
      <c r="D8369">
        <v>1050</v>
      </c>
    </row>
    <row r="8370" spans="1:4" x14ac:dyDescent="0.25">
      <c r="A8370" t="str">
        <f>T("   871419")</f>
        <v xml:space="preserve">   871419</v>
      </c>
      <c r="B8370" t="str">
        <f>T("   Parties et accessoires de motocycles, y.c. de cyclomoteurs, n.d.a.")</f>
        <v xml:space="preserve">   Parties et accessoires de motocycles, y.c. de cyclomoteurs, n.d.a.</v>
      </c>
      <c r="C8370">
        <v>372780650</v>
      </c>
      <c r="D8370">
        <v>1063937</v>
      </c>
    </row>
    <row r="8371" spans="1:4" x14ac:dyDescent="0.25">
      <c r="A8371" t="str">
        <f>T("   871499")</f>
        <v xml:space="preserve">   871499</v>
      </c>
      <c r="B8371" t="str">
        <f>T("   Parties et accessoires, de bicyclettes, n.d.a.")</f>
        <v xml:space="preserve">   Parties et accessoires, de bicyclettes, n.d.a.</v>
      </c>
      <c r="C8371">
        <v>636000</v>
      </c>
      <c r="D8371">
        <v>300</v>
      </c>
    </row>
    <row r="8372" spans="1:4" x14ac:dyDescent="0.25">
      <c r="A8372" t="str">
        <f>T("   871640")</f>
        <v xml:space="preserve">   871640</v>
      </c>
      <c r="B837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372">
        <v>20290000</v>
      </c>
      <c r="D8372">
        <v>60200</v>
      </c>
    </row>
    <row r="8373" spans="1:4" x14ac:dyDescent="0.25">
      <c r="A8373" t="str">
        <f>T("   890520")</f>
        <v xml:space="preserve">   890520</v>
      </c>
      <c r="B8373" t="str">
        <f>T("   Plates-formes de forage ou d'exploitation, flottantes ou submersibles")</f>
        <v xml:space="preserve">   Plates-formes de forage ou d'exploitation, flottantes ou submersibles</v>
      </c>
      <c r="C8373">
        <v>2240532000</v>
      </c>
      <c r="D8373">
        <v>5289</v>
      </c>
    </row>
    <row r="8374" spans="1:4" x14ac:dyDescent="0.25">
      <c r="A8374" t="str">
        <f>T("   900410")</f>
        <v xml:space="preserve">   900410</v>
      </c>
      <c r="B8374" t="str">
        <f>T("   Lunettes solaires")</f>
        <v xml:space="preserve">   Lunettes solaires</v>
      </c>
      <c r="C8374">
        <v>1154400</v>
      </c>
      <c r="D8374">
        <v>1443</v>
      </c>
    </row>
    <row r="8375" spans="1:4" x14ac:dyDescent="0.25">
      <c r="A8375" t="str">
        <f>T("   900653")</f>
        <v xml:space="preserve">   900653</v>
      </c>
      <c r="B8375" t="str">
        <f>T("   APPAREILS PHOTOGRAPHIQUES, POUR PELLICULES EN ROULEAUX D'UNE LARGEUR DE 35 MM (AUTRES QUE LES APPAREILS PHOTOGRAPHIQUES À DÉVELOPPEMENT ET TIRAGE INSTANTANÉS ET QUE LES APPAREILS PHOTOGRAPHIQUES POUR USAGES SPÉCIAUX DU N° 9006.10 OU 9006.30)")</f>
        <v xml:space="preserve">   APPAREILS PHOTOGRAPHIQUES, POUR PELLICULES EN ROULEAUX D'UNE LARGEUR DE 35 MM (AUTRES QUE LES APPAREILS PHOTOGRAPHIQUES À DÉVELOPPEMENT ET TIRAGE INSTANTANÉS ET QUE LES APPAREILS PHOTOGRAPHIQUES POUR USAGES SPÉCIAUX DU N° 9006.10 OU 9006.30)</v>
      </c>
      <c r="C8375">
        <v>220000</v>
      </c>
      <c r="D8375">
        <v>200</v>
      </c>
    </row>
    <row r="8376" spans="1:4" x14ac:dyDescent="0.25">
      <c r="A8376" t="str">
        <f>T("   900792")</f>
        <v xml:space="preserve">   900792</v>
      </c>
      <c r="B8376" t="str">
        <f>T("   Parties et accessoires de projecteurs cinématographiques, n.d.a.")</f>
        <v xml:space="preserve">   Parties et accessoires de projecteurs cinématographiques, n.d.a.</v>
      </c>
      <c r="C8376">
        <v>200000</v>
      </c>
      <c r="D8376">
        <v>100</v>
      </c>
    </row>
    <row r="8377" spans="1:4" x14ac:dyDescent="0.25">
      <c r="A8377" t="str">
        <f>T("   900921")</f>
        <v xml:space="preserve">   900921</v>
      </c>
      <c r="B8377" t="str">
        <f>T("   Appareils de photocopie à système optique (autres qu'électrostatiques)")</f>
        <v xml:space="preserve">   Appareils de photocopie à système optique (autres qu'électrostatiques)</v>
      </c>
      <c r="C8377">
        <v>4946050</v>
      </c>
      <c r="D8377">
        <v>6870</v>
      </c>
    </row>
    <row r="8378" spans="1:4" x14ac:dyDescent="0.25">
      <c r="A8378" t="str">
        <f>T("   901050")</f>
        <v xml:space="preserve">   901050</v>
      </c>
      <c r="B8378" t="str">
        <f>T("   Appareils et matériel pour laboratoires photographiques ou cinématographiques, n.d.a.; négatoscopes")</f>
        <v xml:space="preserve">   Appareils et matériel pour laboratoires photographiques ou cinématographiques, n.d.a.; négatoscopes</v>
      </c>
      <c r="C8378">
        <v>176000</v>
      </c>
      <c r="D8378">
        <v>410</v>
      </c>
    </row>
    <row r="8379" spans="1:4" x14ac:dyDescent="0.25">
      <c r="A8379" t="str">
        <f>T("   901820")</f>
        <v xml:space="preserve">   901820</v>
      </c>
      <c r="B8379" t="str">
        <f>T("   Appareils à rayons ultraviolets ou infrarouges, pour la médecine")</f>
        <v xml:space="preserve">   Appareils à rayons ultraviolets ou infrarouges, pour la médecine</v>
      </c>
      <c r="C8379">
        <v>220000</v>
      </c>
      <c r="D8379">
        <v>220</v>
      </c>
    </row>
    <row r="8380" spans="1:4" x14ac:dyDescent="0.25">
      <c r="A8380" t="str">
        <f>T("   901831")</f>
        <v xml:space="preserve">   901831</v>
      </c>
      <c r="B8380" t="str">
        <f>T("   Seringues, avec ou sans aiguilles, pour la médecine")</f>
        <v xml:space="preserve">   Seringues, avec ou sans aiguilles, pour la médecine</v>
      </c>
      <c r="C8380">
        <v>450000</v>
      </c>
      <c r="D8380">
        <v>405</v>
      </c>
    </row>
    <row r="8381" spans="1:4" x14ac:dyDescent="0.25">
      <c r="A8381" t="str">
        <f>T("   901890")</f>
        <v xml:space="preserve">   901890</v>
      </c>
      <c r="B8381" t="str">
        <f>T("   Instruments et appareils pour la médecine, la chirurgie ou l'art vétérinaire, n.d.a.")</f>
        <v xml:space="preserve">   Instruments et appareils pour la médecine, la chirurgie ou l'art vétérinaire, n.d.a.</v>
      </c>
      <c r="C8381">
        <v>2621800</v>
      </c>
      <c r="D8381">
        <v>1322</v>
      </c>
    </row>
    <row r="8382" spans="1:4" x14ac:dyDescent="0.25">
      <c r="A8382" t="str">
        <f>T("   902300")</f>
        <v xml:space="preserve">   902300</v>
      </c>
      <c r="B8382" t="s">
        <v>530</v>
      </c>
      <c r="C8382">
        <v>32000</v>
      </c>
      <c r="D8382">
        <v>20</v>
      </c>
    </row>
    <row r="8383" spans="1:4" x14ac:dyDescent="0.25">
      <c r="A8383" t="str">
        <f>T("   902519")</f>
        <v xml:space="preserve">   902519</v>
      </c>
      <c r="B8383"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8383">
        <v>218405</v>
      </c>
      <c r="D8383">
        <v>0.1</v>
      </c>
    </row>
    <row r="8384" spans="1:4" x14ac:dyDescent="0.25">
      <c r="A8384" t="str">
        <f>T("   910212")</f>
        <v xml:space="preserve">   910212</v>
      </c>
      <c r="B8384" t="str">
        <f>T("   Montres-bracelets, même incorporant un compteur de temps, fonctionnant électriquement, à affichage optoélectronique seulement (autres que celles en métaux précieux ou en plaqués ou doublés de métaux précieux)")</f>
        <v xml:space="preserve">   Montres-bracelets, même incorporant un compteur de temps, fonctionnant électriquement, à affichage optoélectronique seulement (autres que celles en métaux précieux ou en plaqués ou doublés de métaux précieux)</v>
      </c>
      <c r="C8384">
        <v>1474500</v>
      </c>
      <c r="D8384">
        <v>1300</v>
      </c>
    </row>
    <row r="8385" spans="1:4" x14ac:dyDescent="0.25">
      <c r="A8385" t="str">
        <f>T("   910521")</f>
        <v xml:space="preserve">   910521</v>
      </c>
      <c r="B8385"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385">
        <v>11031300</v>
      </c>
      <c r="D8385">
        <v>16090</v>
      </c>
    </row>
    <row r="8386" spans="1:4" x14ac:dyDescent="0.25">
      <c r="A8386" t="str">
        <f>T("   940120")</f>
        <v xml:space="preserve">   940120</v>
      </c>
      <c r="B8386" t="str">
        <f>T("   Sièges pour véhicules automobiles")</f>
        <v xml:space="preserve">   Sièges pour véhicules automobiles</v>
      </c>
      <c r="C8386">
        <v>39500</v>
      </c>
      <c r="D8386">
        <v>30</v>
      </c>
    </row>
    <row r="8387" spans="1:4" x14ac:dyDescent="0.25">
      <c r="A8387" t="str">
        <f>T("   940130")</f>
        <v xml:space="preserve">   940130</v>
      </c>
      <c r="B8387"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387">
        <v>50000</v>
      </c>
      <c r="D8387">
        <v>50</v>
      </c>
    </row>
    <row r="8388" spans="1:4" x14ac:dyDescent="0.25">
      <c r="A8388" t="str">
        <f>T("   940161")</f>
        <v xml:space="preserve">   940161</v>
      </c>
      <c r="B8388" t="str">
        <f>T("   Sièges, avec bâti en bois, rembourrés (non transformables en lits)")</f>
        <v xml:space="preserve">   Sièges, avec bâti en bois, rembourrés (non transformables en lits)</v>
      </c>
      <c r="C8388">
        <v>124373100</v>
      </c>
      <c r="D8388">
        <v>57280</v>
      </c>
    </row>
    <row r="8389" spans="1:4" x14ac:dyDescent="0.25">
      <c r="A8389" t="str">
        <f>T("   940180")</f>
        <v xml:space="preserve">   940180</v>
      </c>
      <c r="B8389" t="str">
        <f>T("   Sièges, n.d.a.")</f>
        <v xml:space="preserve">   Sièges, n.d.a.</v>
      </c>
      <c r="C8389">
        <v>2699000</v>
      </c>
      <c r="D8389">
        <v>3250</v>
      </c>
    </row>
    <row r="8390" spans="1:4" x14ac:dyDescent="0.25">
      <c r="A8390" t="str">
        <f>T("   940290")</f>
        <v xml:space="preserve">   940290</v>
      </c>
      <c r="B8390"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8390">
        <v>3293700</v>
      </c>
      <c r="D8390">
        <v>2154</v>
      </c>
    </row>
    <row r="8391" spans="1:4" x14ac:dyDescent="0.25">
      <c r="A8391" t="str">
        <f>T("   940310")</f>
        <v xml:space="preserve">   940310</v>
      </c>
      <c r="B8391" t="str">
        <f>T("   Meubles de bureau en métal (sauf sièges)")</f>
        <v xml:space="preserve">   Meubles de bureau en métal (sauf sièges)</v>
      </c>
      <c r="C8391">
        <v>701250</v>
      </c>
      <c r="D8391">
        <v>250</v>
      </c>
    </row>
    <row r="8392" spans="1:4" x14ac:dyDescent="0.25">
      <c r="A8392" t="str">
        <f>T("   940320")</f>
        <v xml:space="preserve">   940320</v>
      </c>
      <c r="B839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392">
        <v>1313300</v>
      </c>
      <c r="D8392">
        <v>1870</v>
      </c>
    </row>
    <row r="8393" spans="1:4" x14ac:dyDescent="0.25">
      <c r="A8393" t="str">
        <f>T("   940330")</f>
        <v xml:space="preserve">   940330</v>
      </c>
      <c r="B8393" t="str">
        <f>T("   Meubles de bureau en bois (sauf sièges)")</f>
        <v xml:space="preserve">   Meubles de bureau en bois (sauf sièges)</v>
      </c>
      <c r="C8393">
        <v>4134888</v>
      </c>
      <c r="D8393">
        <v>3000</v>
      </c>
    </row>
    <row r="8394" spans="1:4" x14ac:dyDescent="0.25">
      <c r="A8394" t="str">
        <f>T("   940340")</f>
        <v xml:space="preserve">   940340</v>
      </c>
      <c r="B8394" t="str">
        <f>T("   Meubles de cuisine, en bois (sauf sièges)")</f>
        <v xml:space="preserve">   Meubles de cuisine, en bois (sauf sièges)</v>
      </c>
      <c r="C8394">
        <v>3343466</v>
      </c>
      <c r="D8394">
        <v>2400</v>
      </c>
    </row>
    <row r="8395" spans="1:4" x14ac:dyDescent="0.25">
      <c r="A8395" t="str">
        <f>T("   940350")</f>
        <v xml:space="preserve">   940350</v>
      </c>
      <c r="B8395" t="str">
        <f>T("   Meubles pour chambres à coucher, en bois (sauf sièges)")</f>
        <v xml:space="preserve">   Meubles pour chambres à coucher, en bois (sauf sièges)</v>
      </c>
      <c r="C8395">
        <v>6361454</v>
      </c>
      <c r="D8395">
        <v>6600</v>
      </c>
    </row>
    <row r="8396" spans="1:4" x14ac:dyDescent="0.25">
      <c r="A8396" t="str">
        <f>T("   940360")</f>
        <v xml:space="preserve">   940360</v>
      </c>
      <c r="B8396" t="str">
        <f>T("   Meubles en bois (autres que pour bureaux, cuisines ou chambres à coucher et autres que sièges)")</f>
        <v xml:space="preserve">   Meubles en bois (autres que pour bureaux, cuisines ou chambres à coucher et autres que sièges)</v>
      </c>
      <c r="C8396">
        <v>17128126</v>
      </c>
      <c r="D8396">
        <v>13539</v>
      </c>
    </row>
    <row r="8397" spans="1:4" x14ac:dyDescent="0.25">
      <c r="A8397" t="str">
        <f>T("   940370")</f>
        <v xml:space="preserve">   940370</v>
      </c>
      <c r="B839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397">
        <v>39775871</v>
      </c>
      <c r="D8397">
        <v>40000</v>
      </c>
    </row>
    <row r="8398" spans="1:4" x14ac:dyDescent="0.25">
      <c r="A8398" t="str">
        <f>T("   940390")</f>
        <v xml:space="preserve">   940390</v>
      </c>
      <c r="B839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8398">
        <v>2409996</v>
      </c>
      <c r="D8398">
        <v>2100</v>
      </c>
    </row>
    <row r="8399" spans="1:4" x14ac:dyDescent="0.25">
      <c r="A8399" t="str">
        <f>T("   940429")</f>
        <v xml:space="preserve">   940429</v>
      </c>
      <c r="B839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399">
        <v>19540</v>
      </c>
      <c r="D8399">
        <v>40</v>
      </c>
    </row>
    <row r="8400" spans="1:4" x14ac:dyDescent="0.25">
      <c r="A8400" t="str">
        <f>T("   940490")</f>
        <v xml:space="preserve">   940490</v>
      </c>
      <c r="B8400" t="s">
        <v>537</v>
      </c>
      <c r="C8400">
        <v>5426585</v>
      </c>
      <c r="D8400">
        <v>7200</v>
      </c>
    </row>
    <row r="8401" spans="1:4" x14ac:dyDescent="0.25">
      <c r="A8401" t="str">
        <f>T("   940540")</f>
        <v xml:space="preserve">   940540</v>
      </c>
      <c r="B8401" t="str">
        <f>T("   Appareils d'éclairage électrique, n.d.a.")</f>
        <v xml:space="preserve">   Appareils d'éclairage électrique, n.d.a.</v>
      </c>
      <c r="C8401">
        <v>1104900</v>
      </c>
      <c r="D8401">
        <v>1500</v>
      </c>
    </row>
    <row r="8402" spans="1:4" x14ac:dyDescent="0.25">
      <c r="A8402" t="str">
        <f>T("   940550")</f>
        <v xml:space="preserve">   940550</v>
      </c>
      <c r="B8402" t="str">
        <f>T("   Appareils d'éclairage non-électriques, n.d.a.")</f>
        <v xml:space="preserve">   Appareils d'éclairage non-électriques, n.d.a.</v>
      </c>
      <c r="C8402">
        <v>2507400</v>
      </c>
      <c r="D8402">
        <v>3357</v>
      </c>
    </row>
    <row r="8403" spans="1:4" x14ac:dyDescent="0.25">
      <c r="A8403" t="str">
        <f>T("   940560")</f>
        <v xml:space="preserve">   940560</v>
      </c>
      <c r="B8403"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403">
        <v>2228460</v>
      </c>
      <c r="D8403">
        <v>2200</v>
      </c>
    </row>
    <row r="8404" spans="1:4" x14ac:dyDescent="0.25">
      <c r="A8404" t="str">
        <f>T("   940591")</f>
        <v xml:space="preserve">   940591</v>
      </c>
      <c r="B8404"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8404">
        <v>3767400</v>
      </c>
      <c r="D8404">
        <v>6862</v>
      </c>
    </row>
    <row r="8405" spans="1:4" x14ac:dyDescent="0.25">
      <c r="A8405" t="str">
        <f>T("   940600")</f>
        <v xml:space="preserve">   940600</v>
      </c>
      <c r="B8405" t="str">
        <f>T("   Constructions préfabriquées, même incomplètes ou non encore montées")</f>
        <v xml:space="preserve">   Constructions préfabriquées, même incomplètes ou non encore montées</v>
      </c>
      <c r="C8405">
        <v>150000</v>
      </c>
      <c r="D8405">
        <v>100</v>
      </c>
    </row>
    <row r="8406" spans="1:4" x14ac:dyDescent="0.25">
      <c r="A8406" t="str">
        <f>T("   950350")</f>
        <v xml:space="preserve">   950350</v>
      </c>
      <c r="B8406" t="str">
        <f>T("   INSTRUMENTS ET APPAREILS DE MUSIQUE-JOUETS")</f>
        <v xml:space="preserve">   INSTRUMENTS ET APPAREILS DE MUSIQUE-JOUETS</v>
      </c>
      <c r="C8406">
        <v>200000</v>
      </c>
      <c r="D8406">
        <v>200</v>
      </c>
    </row>
    <row r="8407" spans="1:4" x14ac:dyDescent="0.25">
      <c r="A8407" t="str">
        <f>T("   950390")</f>
        <v xml:space="preserve">   950390</v>
      </c>
      <c r="B8407" t="str">
        <f>T("   Jouets, n.d.a.")</f>
        <v xml:space="preserve">   Jouets, n.d.a.</v>
      </c>
      <c r="C8407">
        <v>3955750</v>
      </c>
      <c r="D8407">
        <v>5259</v>
      </c>
    </row>
    <row r="8408" spans="1:4" x14ac:dyDescent="0.25">
      <c r="A8408" t="str">
        <f>T("   950410")</f>
        <v xml:space="preserve">   950410</v>
      </c>
      <c r="B8408" t="str">
        <f>T("   Jeux vidéo des types utilisables avec un récepteur de télévision")</f>
        <v xml:space="preserve">   Jeux vidéo des types utilisables avec un récepteur de télévision</v>
      </c>
      <c r="C8408">
        <v>46000</v>
      </c>
      <c r="D8408">
        <v>40</v>
      </c>
    </row>
    <row r="8409" spans="1:4" x14ac:dyDescent="0.25">
      <c r="A8409" t="str">
        <f>T("   950440")</f>
        <v xml:space="preserve">   950440</v>
      </c>
      <c r="B8409" t="str">
        <f>T("   Cartes à jouer")</f>
        <v xml:space="preserve">   Cartes à jouer</v>
      </c>
      <c r="C8409">
        <v>24100</v>
      </c>
      <c r="D8409">
        <v>482</v>
      </c>
    </row>
    <row r="8410" spans="1:4" x14ac:dyDescent="0.25">
      <c r="A8410" t="str">
        <f>T("   950510")</f>
        <v xml:space="preserve">   950510</v>
      </c>
      <c r="B8410" t="str">
        <f>T("   Articles pour fêtes de Noël (sauf bougies et guirlandes électriques)")</f>
        <v xml:space="preserve">   Articles pour fêtes de Noël (sauf bougies et guirlandes électriques)</v>
      </c>
      <c r="C8410">
        <v>95085</v>
      </c>
      <c r="D8410">
        <v>105</v>
      </c>
    </row>
    <row r="8411" spans="1:4" x14ac:dyDescent="0.25">
      <c r="A8411" t="str">
        <f>T("   950590")</f>
        <v xml:space="preserve">   950590</v>
      </c>
      <c r="B8411" t="str">
        <f>T("   Articles pour fêtes, carnaval ou autres divertissements, y.c. les articles de magie et articles-surprises, n.d.a.")</f>
        <v xml:space="preserve">   Articles pour fêtes, carnaval ou autres divertissements, y.c. les articles de magie et articles-surprises, n.d.a.</v>
      </c>
      <c r="C8411">
        <v>21000</v>
      </c>
      <c r="D8411">
        <v>14</v>
      </c>
    </row>
    <row r="8412" spans="1:4" x14ac:dyDescent="0.25">
      <c r="A8412" t="str">
        <f>T("   950669")</f>
        <v xml:space="preserve">   950669</v>
      </c>
      <c r="B8412" t="str">
        <f>T("   Ballons et balles (autres que gonflables et autres que balles de golf ou de tennis de table)")</f>
        <v xml:space="preserve">   Ballons et balles (autres que gonflables et autres que balles de golf ou de tennis de table)</v>
      </c>
      <c r="C8412">
        <v>260500</v>
      </c>
      <c r="D8412">
        <v>459</v>
      </c>
    </row>
    <row r="8413" spans="1:4" x14ac:dyDescent="0.25">
      <c r="A8413" t="str">
        <f>T("   960321")</f>
        <v xml:space="preserve">   960321</v>
      </c>
      <c r="B8413" t="str">
        <f>T("   Brosses à dent, y.c. brosses à prothèses dentaires")</f>
        <v xml:space="preserve">   Brosses à dent, y.c. brosses à prothèses dentaires</v>
      </c>
      <c r="C8413">
        <v>1073600</v>
      </c>
      <c r="D8413">
        <v>979</v>
      </c>
    </row>
    <row r="8414" spans="1:4" x14ac:dyDescent="0.25">
      <c r="A8414" t="str">
        <f>T("   960329")</f>
        <v xml:space="preserve">   960329</v>
      </c>
      <c r="B8414"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8414">
        <v>189748</v>
      </c>
      <c r="D8414">
        <v>31</v>
      </c>
    </row>
    <row r="8415" spans="1:4" x14ac:dyDescent="0.25">
      <c r="A8415" t="str">
        <f>T("   960340")</f>
        <v xml:space="preserve">   960340</v>
      </c>
      <c r="B8415"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8415">
        <v>80000</v>
      </c>
      <c r="D8415">
        <v>80</v>
      </c>
    </row>
    <row r="8416" spans="1:4" x14ac:dyDescent="0.25">
      <c r="A8416" t="str">
        <f>T("   960629")</f>
        <v xml:space="preserve">   960629</v>
      </c>
      <c r="B8416"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8416">
        <v>80000</v>
      </c>
      <c r="D8416">
        <v>150</v>
      </c>
    </row>
    <row r="8417" spans="1:4" x14ac:dyDescent="0.25">
      <c r="A8417" t="str">
        <f>T("   960711")</f>
        <v xml:space="preserve">   960711</v>
      </c>
      <c r="B8417" t="str">
        <f>T("   Fermetures à glissière avec agrafes en métaux communs")</f>
        <v xml:space="preserve">   Fermetures à glissière avec agrafes en métaux communs</v>
      </c>
      <c r="C8417">
        <v>19543</v>
      </c>
      <c r="D8417">
        <v>150</v>
      </c>
    </row>
    <row r="8418" spans="1:4" x14ac:dyDescent="0.25">
      <c r="A8418" t="str">
        <f>T("   960719")</f>
        <v xml:space="preserve">   960719</v>
      </c>
      <c r="B8418" t="str">
        <f>T("   Fermetures à glissière sans agrafes et autres qu'en métaux communs")</f>
        <v xml:space="preserve">   Fermetures à glissière sans agrafes et autres qu'en métaux communs</v>
      </c>
      <c r="C8418">
        <v>39085</v>
      </c>
      <c r="D8418">
        <v>50</v>
      </c>
    </row>
    <row r="8419" spans="1:4" x14ac:dyDescent="0.25">
      <c r="A8419" t="str">
        <f>T("   960810")</f>
        <v xml:space="preserve">   960810</v>
      </c>
      <c r="B8419" t="str">
        <f>T("   Stylos et crayons à bille")</f>
        <v xml:space="preserve">   Stylos et crayons à bille</v>
      </c>
      <c r="C8419">
        <v>228000</v>
      </c>
      <c r="D8419">
        <v>458</v>
      </c>
    </row>
    <row r="8420" spans="1:4" x14ac:dyDescent="0.25">
      <c r="A8420" t="str">
        <f>T("   960899")</f>
        <v xml:space="preserve">   960899</v>
      </c>
      <c r="B8420"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8420">
        <v>49000</v>
      </c>
      <c r="D8420">
        <v>14</v>
      </c>
    </row>
    <row r="8421" spans="1:4" x14ac:dyDescent="0.25">
      <c r="A8421" t="str">
        <f>T("   961000")</f>
        <v xml:space="preserve">   961000</v>
      </c>
      <c r="B8421" t="str">
        <f>T("   Ardoises et tableaux pour l'écriture ou le dessin, même encadrés")</f>
        <v xml:space="preserve">   Ardoises et tableaux pour l'écriture ou le dessin, même encadrés</v>
      </c>
      <c r="C8421">
        <v>272500</v>
      </c>
      <c r="D8421">
        <v>300</v>
      </c>
    </row>
    <row r="8422" spans="1:4" x14ac:dyDescent="0.25">
      <c r="A8422" t="str">
        <f>T("   961210")</f>
        <v xml:space="preserve">   961210</v>
      </c>
      <c r="B8422"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8422">
        <v>520000</v>
      </c>
      <c r="D8422">
        <v>750</v>
      </c>
    </row>
    <row r="8423" spans="1:4" x14ac:dyDescent="0.25">
      <c r="A8423" t="str">
        <f>T("   961511")</f>
        <v xml:space="preserve">   961511</v>
      </c>
      <c r="B8423" t="str">
        <f>T("   PEIGNÉS À COIFFER, PEIGNÉS DE COIFFURE, BARRETTES ET ARTICLES SIMIL., EN CAOUTCHOUC DURCI OU EN MATIÈRES PLASTIQUES")</f>
        <v xml:space="preserve">   PEIGNÉS À COIFFER, PEIGNÉS DE COIFFURE, BARRETTES ET ARTICLES SIMIL., EN CAOUTCHOUC DURCI OU EN MATIÈRES PLASTIQUES</v>
      </c>
      <c r="C8423">
        <v>15000</v>
      </c>
      <c r="D8423">
        <v>15</v>
      </c>
    </row>
    <row r="8424" spans="1:4" x14ac:dyDescent="0.25">
      <c r="A8424" t="str">
        <f>T("   961590")</f>
        <v xml:space="preserve">   961590</v>
      </c>
      <c r="B8424" t="str">
        <f>T("   Epingles à cheveux; pince-guiches, ondulateurs, bigoudis et articles pour la coiffure (autres que ceux du n° 8516); parties")</f>
        <v xml:space="preserve">   Epingles à cheveux; pince-guiches, ondulateurs, bigoudis et articles pour la coiffure (autres que ceux du n° 8516); parties</v>
      </c>
      <c r="C8424">
        <v>831000</v>
      </c>
      <c r="D8424">
        <v>831</v>
      </c>
    </row>
    <row r="8425" spans="1:4" x14ac:dyDescent="0.25">
      <c r="A8425" t="str">
        <f>T("   961700")</f>
        <v xml:space="preserve">   961700</v>
      </c>
      <c r="B8425"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8425">
        <v>23552039</v>
      </c>
      <c r="D8425">
        <v>115976</v>
      </c>
    </row>
    <row r="8426" spans="1:4" x14ac:dyDescent="0.25">
      <c r="A8426" t="str">
        <f>T("NL")</f>
        <v>NL</v>
      </c>
      <c r="B8426" t="str">
        <f>T("Pays-bas")</f>
        <v>Pays-bas</v>
      </c>
    </row>
    <row r="8427" spans="1:4" x14ac:dyDescent="0.25">
      <c r="A8427" t="str">
        <f>T("   ZZ_Total_Produit_SH6")</f>
        <v xml:space="preserve">   ZZ_Total_Produit_SH6</v>
      </c>
      <c r="B8427" t="str">
        <f>T("   ZZ_Total_Produit_SH6")</f>
        <v xml:space="preserve">   ZZ_Total_Produit_SH6</v>
      </c>
      <c r="C8427">
        <v>47729332237.073997</v>
      </c>
      <c r="D8427">
        <v>65995055.130000003</v>
      </c>
    </row>
    <row r="8428" spans="1:4" x14ac:dyDescent="0.25">
      <c r="A8428" t="str">
        <f>T("   020711")</f>
        <v xml:space="preserve">   020711</v>
      </c>
      <c r="B8428" t="str">
        <f>T("   COQS ET POULES [DES ESPÈCES DOMESTIQUES], NON-DÉCOUPÉS EN MORCEAUX, FRAIS OU RÉFRIGÉRÉS")</f>
        <v xml:space="preserve">   COQS ET POULES [DES ESPÈCES DOMESTIQUES], NON-DÉCOUPÉS EN MORCEAUX, FRAIS OU RÉFRIGÉRÉS</v>
      </c>
      <c r="C8428">
        <v>62200376</v>
      </c>
      <c r="D8428">
        <v>99920</v>
      </c>
    </row>
    <row r="8429" spans="1:4" x14ac:dyDescent="0.25">
      <c r="A8429" t="str">
        <f>T("   020712")</f>
        <v xml:space="preserve">   020712</v>
      </c>
      <c r="B8429" t="str">
        <f>T("   COQS ET POULES [DES ESPÈCES DOMESTIQUES], NON-DÉCOUPÉS EN MORCEAUX, CONGELÉS")</f>
        <v xml:space="preserve">   COQS ET POULES [DES ESPÈCES DOMESTIQUES], NON-DÉCOUPÉS EN MORCEAUX, CONGELÉS</v>
      </c>
      <c r="C8429">
        <v>1379688041</v>
      </c>
      <c r="D8429">
        <v>2276412</v>
      </c>
    </row>
    <row r="8430" spans="1:4" x14ac:dyDescent="0.25">
      <c r="A8430" t="str">
        <f>T("   020713")</f>
        <v xml:space="preserve">   020713</v>
      </c>
      <c r="B8430" t="str">
        <f>T("   Morceaux et abats comestibles de coqs et de poules [des espèces domestiques], frais ou réfrigérés")</f>
        <v xml:space="preserve">   Morceaux et abats comestibles de coqs et de poules [des espèces domestiques], frais ou réfrigérés</v>
      </c>
      <c r="C8430">
        <v>93301127</v>
      </c>
      <c r="D8430">
        <v>156000</v>
      </c>
    </row>
    <row r="8431" spans="1:4" x14ac:dyDescent="0.25">
      <c r="A8431" t="str">
        <f>T("   020714")</f>
        <v xml:space="preserve">   020714</v>
      </c>
      <c r="B8431" t="str">
        <f>T("   Morceaux et abats comestibles de coqs et de poules [des espèces domestiques], congelés")</f>
        <v xml:space="preserve">   Morceaux et abats comestibles de coqs et de poules [des espèces domestiques], congelés</v>
      </c>
      <c r="C8431">
        <v>11396673910</v>
      </c>
      <c r="D8431">
        <v>18678930</v>
      </c>
    </row>
    <row r="8432" spans="1:4" x14ac:dyDescent="0.25">
      <c r="A8432" t="str">
        <f>T("   020726")</f>
        <v xml:space="preserve">   020726</v>
      </c>
      <c r="B8432" t="str">
        <f>T("   Morceaux et abats comestibles de dindes et dindons [des espèces domestiques], frais ou réfrigérés")</f>
        <v xml:space="preserve">   Morceaux et abats comestibles de dindes et dindons [des espèces domestiques], frais ou réfrigérés</v>
      </c>
      <c r="C8432">
        <v>16172000</v>
      </c>
      <c r="D8432">
        <v>26000</v>
      </c>
    </row>
    <row r="8433" spans="1:4" x14ac:dyDescent="0.25">
      <c r="A8433" t="str">
        <f>T("   020727")</f>
        <v xml:space="preserve">   020727</v>
      </c>
      <c r="B8433" t="str">
        <f>T("   Morceaux et abats comestibles de dindes et dindons [des espèces domestiques], congelés")</f>
        <v xml:space="preserve">   Morceaux et abats comestibles de dindes et dindons [des espèces domestiques], congelés</v>
      </c>
      <c r="C8433">
        <v>3869031015</v>
      </c>
      <c r="D8433">
        <v>6312188</v>
      </c>
    </row>
    <row r="8434" spans="1:4" x14ac:dyDescent="0.25">
      <c r="A8434" t="str">
        <f>T("   020736")</f>
        <v xml:space="preserve">   020736</v>
      </c>
      <c r="B8434" t="str">
        <f>T("   Morceaux et abats comestibles de canards, d'oies ou de pintades [des espèces domestiques], congelés (à l'excl. des foies gras)")</f>
        <v xml:space="preserve">   Morceaux et abats comestibles de canards, d'oies ou de pintades [des espèces domestiques], congelés (à l'excl. des foies gras)</v>
      </c>
      <c r="C8434">
        <v>46650374</v>
      </c>
      <c r="D8434">
        <v>75000</v>
      </c>
    </row>
    <row r="8435" spans="1:4" x14ac:dyDescent="0.25">
      <c r="A8435" t="str">
        <f>T("   020810")</f>
        <v xml:space="preserve">   020810</v>
      </c>
      <c r="B8435" t="str">
        <f>T("   Viandes et abats comestibles de lapins ou de lièvres, frais, réfrigérés ou congelés")</f>
        <v xml:space="preserve">   Viandes et abats comestibles de lapins ou de lièvres, frais, réfrigérés ou congelés</v>
      </c>
      <c r="C8435">
        <v>31100000</v>
      </c>
      <c r="D8435">
        <v>47529</v>
      </c>
    </row>
    <row r="8436" spans="1:4" x14ac:dyDescent="0.25">
      <c r="A8436" t="str">
        <f>T("   030371")</f>
        <v xml:space="preserve">   030371</v>
      </c>
      <c r="B8436" t="str">
        <f>T("   Sardines [Sardina pilchardus, Sardinops spp.], sardinelles [Sardinella spp.], sprats ou esprots [Sprattus sprattus], congelés")</f>
        <v xml:space="preserve">   Sardines [Sardina pilchardus, Sardinops spp.], sardinelles [Sardinella spp.], sprats ou esprots [Sprattus sprattus], congelés</v>
      </c>
      <c r="C8436">
        <v>5850508</v>
      </c>
      <c r="D8436">
        <v>26000</v>
      </c>
    </row>
    <row r="8437" spans="1:4" x14ac:dyDescent="0.25">
      <c r="A8437" t="str">
        <f>T("   030379")</f>
        <v xml:space="preserve">   030379</v>
      </c>
      <c r="B8437" t="s">
        <v>16</v>
      </c>
      <c r="C8437">
        <v>798695897</v>
      </c>
      <c r="D8437">
        <v>3549318</v>
      </c>
    </row>
    <row r="8438" spans="1:4" x14ac:dyDescent="0.25">
      <c r="A8438" t="str">
        <f>T("   040210")</f>
        <v xml:space="preserve">   040210</v>
      </c>
      <c r="B843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438">
        <v>60010000</v>
      </c>
      <c r="D8438">
        <v>25000</v>
      </c>
    </row>
    <row r="8439" spans="1:4" x14ac:dyDescent="0.25">
      <c r="A8439" t="str">
        <f>T("   040221")</f>
        <v xml:space="preserve">   040221</v>
      </c>
      <c r="B843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439">
        <v>670071252</v>
      </c>
      <c r="D8439">
        <v>206105</v>
      </c>
    </row>
    <row r="8440" spans="1:4" x14ac:dyDescent="0.25">
      <c r="A8440" t="str">
        <f>T("   040291")</f>
        <v xml:space="preserve">   040291</v>
      </c>
      <c r="B8440"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440">
        <v>4045580000</v>
      </c>
      <c r="D8440">
        <v>4258760.92</v>
      </c>
    </row>
    <row r="8441" spans="1:4" x14ac:dyDescent="0.25">
      <c r="A8441" t="str">
        <f>T("   050400")</f>
        <v xml:space="preserve">   050400</v>
      </c>
      <c r="B8441"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8441">
        <v>273191586</v>
      </c>
      <c r="D8441">
        <v>235929</v>
      </c>
    </row>
    <row r="8442" spans="1:4" x14ac:dyDescent="0.25">
      <c r="A8442" t="str">
        <f>T("   070190")</f>
        <v xml:space="preserve">   070190</v>
      </c>
      <c r="B8442" t="str">
        <f>T("   Pommes de terre, à l'état frais ou réfrigéré (à l'excl. des pommes de terre de semence)")</f>
        <v xml:space="preserve">   Pommes de terre, à l'état frais ou réfrigéré (à l'excl. des pommes de terre de semence)</v>
      </c>
      <c r="C8442">
        <v>4785228</v>
      </c>
      <c r="D8442">
        <v>29000</v>
      </c>
    </row>
    <row r="8443" spans="1:4" x14ac:dyDescent="0.25">
      <c r="A8443" t="str">
        <f>T("   071010")</f>
        <v xml:space="preserve">   071010</v>
      </c>
      <c r="B8443" t="str">
        <f>T("   Pommes de terre, non cuites ou cuites à l'eau ou à la vapeur, congelées")</f>
        <v xml:space="preserve">   Pommes de terre, non cuites ou cuites à l'eau ou à la vapeur, congelées</v>
      </c>
      <c r="C8443">
        <v>6730150</v>
      </c>
      <c r="D8443">
        <v>22400</v>
      </c>
    </row>
    <row r="8444" spans="1:4" x14ac:dyDescent="0.25">
      <c r="A8444" t="str">
        <f>T("   110100")</f>
        <v xml:space="preserve">   110100</v>
      </c>
      <c r="B8444" t="str">
        <f>T("   Farines de froment [blé] ou de méteil")</f>
        <v xml:space="preserve">   Farines de froment [blé] ou de méteil</v>
      </c>
      <c r="C8444">
        <v>793532003.074</v>
      </c>
      <c r="D8444">
        <v>2953267</v>
      </c>
    </row>
    <row r="8445" spans="1:4" x14ac:dyDescent="0.25">
      <c r="A8445" t="str">
        <f>T("   110710")</f>
        <v xml:space="preserve">   110710</v>
      </c>
      <c r="B8445" t="str">
        <f>T("   MALT, NON-TORRÉFIÉ")</f>
        <v xml:space="preserve">   MALT, NON-TORRÉFIÉ</v>
      </c>
      <c r="C8445">
        <v>150171543</v>
      </c>
      <c r="D8445">
        <v>351400</v>
      </c>
    </row>
    <row r="8446" spans="1:4" x14ac:dyDescent="0.25">
      <c r="A8446" t="str">
        <f>T("   160100")</f>
        <v xml:space="preserve">   160100</v>
      </c>
      <c r="B8446" t="str">
        <f>T("   Saucisses, saucissons et produits simil., de viande, d'abats ou de sang; préparations alimentaires à base de ces produits")</f>
        <v xml:space="preserve">   Saucisses, saucissons et produits simil., de viande, d'abats ou de sang; préparations alimentaires à base de ces produits</v>
      </c>
      <c r="C8446">
        <v>3000000</v>
      </c>
      <c r="D8446">
        <v>4000</v>
      </c>
    </row>
    <row r="8447" spans="1:4" x14ac:dyDescent="0.25">
      <c r="A8447" t="str">
        <f>T("   180631")</f>
        <v xml:space="preserve">   180631</v>
      </c>
      <c r="B8447"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8447">
        <v>2464869</v>
      </c>
      <c r="D8447">
        <v>443</v>
      </c>
    </row>
    <row r="8448" spans="1:4" x14ac:dyDescent="0.25">
      <c r="A8448" t="str">
        <f>T("   190190")</f>
        <v xml:space="preserve">   190190</v>
      </c>
      <c r="B8448" t="s">
        <v>50</v>
      </c>
      <c r="C8448">
        <v>337640000</v>
      </c>
      <c r="D8448">
        <v>685959.6</v>
      </c>
    </row>
    <row r="8449" spans="1:4" x14ac:dyDescent="0.25">
      <c r="A8449" t="str">
        <f>T("   190531")</f>
        <v xml:space="preserve">   190531</v>
      </c>
      <c r="B8449" t="str">
        <f>T("   Biscuits additionnés d'édulcorants")</f>
        <v xml:space="preserve">   Biscuits additionnés d'édulcorants</v>
      </c>
      <c r="C8449">
        <v>45883064</v>
      </c>
      <c r="D8449">
        <v>37345</v>
      </c>
    </row>
    <row r="8450" spans="1:4" x14ac:dyDescent="0.25">
      <c r="A8450" t="str">
        <f>T("   190590")</f>
        <v xml:space="preserve">   190590</v>
      </c>
      <c r="B8450" t="s">
        <v>52</v>
      </c>
      <c r="C8450">
        <v>22950007</v>
      </c>
      <c r="D8450">
        <v>18940</v>
      </c>
    </row>
    <row r="8451" spans="1:4" x14ac:dyDescent="0.25">
      <c r="A8451" t="str">
        <f>T("   200990")</f>
        <v xml:space="preserve">   200990</v>
      </c>
      <c r="B845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451">
        <v>4591620</v>
      </c>
      <c r="D8451">
        <v>15837</v>
      </c>
    </row>
    <row r="8452" spans="1:4" x14ac:dyDescent="0.25">
      <c r="A8452" t="str">
        <f>T("   210690")</f>
        <v xml:space="preserve">   210690</v>
      </c>
      <c r="B8452" t="str">
        <f>T("   Préparations alimentaires, n.d.a.")</f>
        <v xml:space="preserve">   Préparations alimentaires, n.d.a.</v>
      </c>
      <c r="C8452">
        <v>239437141</v>
      </c>
      <c r="D8452">
        <v>26047</v>
      </c>
    </row>
    <row r="8453" spans="1:4" x14ac:dyDescent="0.25">
      <c r="A8453" t="str">
        <f>T("   220210")</f>
        <v xml:space="preserve">   220210</v>
      </c>
      <c r="B845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453">
        <v>24891635</v>
      </c>
      <c r="D8453">
        <v>17048</v>
      </c>
    </row>
    <row r="8454" spans="1:4" x14ac:dyDescent="0.25">
      <c r="A8454" t="str">
        <f>T("   220290")</f>
        <v xml:space="preserve">   220290</v>
      </c>
      <c r="B8454" t="str">
        <f>T("   BOISSONS NON-ALCOOLIQUES (À L'EXCL. DES EAUX, DES JUS DE FRUITS OU DE LÉGUMES AINSI QUE DU LAIT)")</f>
        <v xml:space="preserve">   BOISSONS NON-ALCOOLIQUES (À L'EXCL. DES EAUX, DES JUS DE FRUITS OU DE LÉGUMES AINSI QUE DU LAIT)</v>
      </c>
      <c r="C8454">
        <v>82833048</v>
      </c>
      <c r="D8454">
        <v>63013</v>
      </c>
    </row>
    <row r="8455" spans="1:4" x14ac:dyDescent="0.25">
      <c r="A8455" t="str">
        <f>T("   220300")</f>
        <v xml:space="preserve">   220300</v>
      </c>
      <c r="B8455" t="str">
        <f>T("   Bières de malt")</f>
        <v xml:space="preserve">   Bières de malt</v>
      </c>
      <c r="C8455">
        <v>144528547</v>
      </c>
      <c r="D8455">
        <v>334825</v>
      </c>
    </row>
    <row r="8456" spans="1:4" x14ac:dyDescent="0.25">
      <c r="A8456" t="str">
        <f>T("   220600")</f>
        <v xml:space="preserve">   220600</v>
      </c>
      <c r="B8456" t="s">
        <v>60</v>
      </c>
      <c r="C8456">
        <v>130652800</v>
      </c>
      <c r="D8456">
        <v>298216</v>
      </c>
    </row>
    <row r="8457" spans="1:4" x14ac:dyDescent="0.25">
      <c r="A8457" t="str">
        <f>T("   220890")</f>
        <v xml:space="preserve">   220890</v>
      </c>
      <c r="B8457" t="s">
        <v>61</v>
      </c>
      <c r="C8457">
        <v>8040758</v>
      </c>
      <c r="D8457">
        <v>58173</v>
      </c>
    </row>
    <row r="8458" spans="1:4" x14ac:dyDescent="0.25">
      <c r="A8458" t="str">
        <f>T("   230990")</f>
        <v xml:space="preserve">   230990</v>
      </c>
      <c r="B8458"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8458">
        <v>17156798</v>
      </c>
      <c r="D8458">
        <v>20625</v>
      </c>
    </row>
    <row r="8459" spans="1:4" x14ac:dyDescent="0.25">
      <c r="A8459" t="str">
        <f>T("   250840")</f>
        <v xml:space="preserve">   250840</v>
      </c>
      <c r="B8459" t="str">
        <f>T("   Argiles (à l'excl. des argiles réfractaires ou expansées ainsi que du kaolin et des autres argiles kaoliniques)")</f>
        <v xml:space="preserve">   Argiles (à l'excl. des argiles réfractaires ou expansées ainsi que du kaolin et des autres argiles kaoliniques)</v>
      </c>
      <c r="C8459">
        <v>13356371</v>
      </c>
      <c r="D8459">
        <v>34820</v>
      </c>
    </row>
    <row r="8460" spans="1:4" x14ac:dyDescent="0.25">
      <c r="A8460" t="str">
        <f>T("   252390")</f>
        <v xml:space="preserve">   252390</v>
      </c>
      <c r="B8460" t="str">
        <f>T("   Ciments, même colorés (à l'excl. des ciments Portland et des ciments alumineux)")</f>
        <v xml:space="preserve">   Ciments, même colorés (à l'excl. des ciments Portland et des ciments alumineux)</v>
      </c>
      <c r="C8460">
        <v>984580</v>
      </c>
      <c r="D8460">
        <v>25910</v>
      </c>
    </row>
    <row r="8461" spans="1:4" x14ac:dyDescent="0.25">
      <c r="A8461" t="str">
        <f>T("   271011")</f>
        <v xml:space="preserve">   271011</v>
      </c>
      <c r="B846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461">
        <v>862279160</v>
      </c>
      <c r="D8461">
        <v>1955606</v>
      </c>
    </row>
    <row r="8462" spans="1:4" x14ac:dyDescent="0.25">
      <c r="A8462" t="str">
        <f>T("   271019")</f>
        <v xml:space="preserve">   271019</v>
      </c>
      <c r="B8462" t="str">
        <f>T("   Huiles moyennes et préparations, de pétrole ou de minéraux bitumineux, n.d.a.")</f>
        <v xml:space="preserve">   Huiles moyennes et préparations, de pétrole ou de minéraux bitumineux, n.d.a.</v>
      </c>
      <c r="C8462">
        <v>5469703549</v>
      </c>
      <c r="D8462">
        <v>15828759</v>
      </c>
    </row>
    <row r="8463" spans="1:4" x14ac:dyDescent="0.25">
      <c r="A8463" t="str">
        <f>T("   271220")</f>
        <v xml:space="preserve">   271220</v>
      </c>
      <c r="B8463" t="str">
        <f>T("   Paraffine contenant en poids &lt; 0,75% d'huile")</f>
        <v xml:space="preserve">   Paraffine contenant en poids &lt; 0,75% d'huile</v>
      </c>
      <c r="C8463">
        <v>38046</v>
      </c>
      <c r="D8463">
        <v>3</v>
      </c>
    </row>
    <row r="8464" spans="1:4" x14ac:dyDescent="0.25">
      <c r="A8464" t="str">
        <f>T("   280800")</f>
        <v xml:space="preserve">   280800</v>
      </c>
      <c r="B8464" t="str">
        <f>T("   Acide nitrique; acides sulfonitriques")</f>
        <v xml:space="preserve">   Acide nitrique; acides sulfonitriques</v>
      </c>
      <c r="C8464">
        <v>5455134</v>
      </c>
      <c r="D8464">
        <v>24120</v>
      </c>
    </row>
    <row r="8465" spans="1:4" x14ac:dyDescent="0.25">
      <c r="A8465" t="str">
        <f>T("   290110")</f>
        <v xml:space="preserve">   290110</v>
      </c>
      <c r="B8465" t="str">
        <f>T("   Hydrocarbures acycliques, saturés")</f>
        <v xml:space="preserve">   Hydrocarbures acycliques, saturés</v>
      </c>
      <c r="C8465">
        <v>139224440</v>
      </c>
      <c r="D8465">
        <v>151065</v>
      </c>
    </row>
    <row r="8466" spans="1:4" x14ac:dyDescent="0.25">
      <c r="A8466" t="str">
        <f>T("   300490")</f>
        <v xml:space="preserve">   300490</v>
      </c>
      <c r="B8466" t="s">
        <v>84</v>
      </c>
      <c r="C8466">
        <v>213645586</v>
      </c>
      <c r="D8466">
        <v>37320.5</v>
      </c>
    </row>
    <row r="8467" spans="1:4" x14ac:dyDescent="0.25">
      <c r="A8467" t="str">
        <f>T("   300590")</f>
        <v xml:space="preserve">   300590</v>
      </c>
      <c r="B8467" t="s">
        <v>85</v>
      </c>
      <c r="C8467">
        <v>2555621</v>
      </c>
      <c r="D8467">
        <v>348</v>
      </c>
    </row>
    <row r="8468" spans="1:4" x14ac:dyDescent="0.25">
      <c r="A8468" t="str">
        <f>T("   320611")</f>
        <v xml:space="preserve">   320611</v>
      </c>
      <c r="B8468" t="s">
        <v>98</v>
      </c>
      <c r="C8468">
        <v>31681556</v>
      </c>
      <c r="D8468">
        <v>20000</v>
      </c>
    </row>
    <row r="8469" spans="1:4" x14ac:dyDescent="0.25">
      <c r="A8469" t="str">
        <f>T("   320820")</f>
        <v xml:space="preserve">   320820</v>
      </c>
      <c r="B8469" t="s">
        <v>101</v>
      </c>
      <c r="C8469">
        <v>10212</v>
      </c>
      <c r="D8469">
        <v>1</v>
      </c>
    </row>
    <row r="8470" spans="1:4" x14ac:dyDescent="0.25">
      <c r="A8470" t="str">
        <f>T("   321490")</f>
        <v xml:space="preserve">   321490</v>
      </c>
      <c r="B8470" t="str">
        <f>T("   Enduits non réfractaires des types utilisés en maçonnerie")</f>
        <v xml:space="preserve">   Enduits non réfractaires des types utilisés en maçonnerie</v>
      </c>
      <c r="C8470">
        <v>29641</v>
      </c>
      <c r="D8470">
        <v>1</v>
      </c>
    </row>
    <row r="8471" spans="1:4" x14ac:dyDescent="0.25">
      <c r="A8471" t="str">
        <f>T("   321590")</f>
        <v xml:space="preserve">   321590</v>
      </c>
      <c r="B8471" t="str">
        <f>T("   Encres à écrire et à dessiner, même concentrées ou sous formes solides")</f>
        <v xml:space="preserve">   Encres à écrire et à dessiner, même concentrées ou sous formes solides</v>
      </c>
      <c r="C8471">
        <v>2482522</v>
      </c>
      <c r="D8471">
        <v>66</v>
      </c>
    </row>
    <row r="8472" spans="1:4" x14ac:dyDescent="0.25">
      <c r="A8472" t="str">
        <f>T("   330499")</f>
        <v xml:space="preserve">   330499</v>
      </c>
      <c r="B8472" t="s">
        <v>106</v>
      </c>
      <c r="C8472">
        <v>44787243</v>
      </c>
      <c r="D8472">
        <v>13474</v>
      </c>
    </row>
    <row r="8473" spans="1:4" x14ac:dyDescent="0.25">
      <c r="A8473" t="str">
        <f>T("   330610")</f>
        <v xml:space="preserve">   330610</v>
      </c>
      <c r="B8473" t="str">
        <f>T("   Dentifrices, préparés, même des types utilisés par les dentistes")</f>
        <v xml:space="preserve">   Dentifrices, préparés, même des types utilisés par les dentistes</v>
      </c>
      <c r="C8473">
        <v>33154842</v>
      </c>
      <c r="D8473">
        <v>6502</v>
      </c>
    </row>
    <row r="8474" spans="1:4" x14ac:dyDescent="0.25">
      <c r="A8474" t="str">
        <f>T("   340111")</f>
        <v xml:space="preserve">   340111</v>
      </c>
      <c r="B8474" t="s">
        <v>107</v>
      </c>
      <c r="C8474">
        <v>3102829</v>
      </c>
      <c r="D8474">
        <v>1693</v>
      </c>
    </row>
    <row r="8475" spans="1:4" x14ac:dyDescent="0.25">
      <c r="A8475" t="str">
        <f>T("   340119")</f>
        <v xml:space="preserve">   340119</v>
      </c>
      <c r="B8475" t="s">
        <v>108</v>
      </c>
      <c r="C8475">
        <v>281276</v>
      </c>
      <c r="D8475">
        <v>70</v>
      </c>
    </row>
    <row r="8476" spans="1:4" x14ac:dyDescent="0.25">
      <c r="A8476" t="str">
        <f>T("   340130")</f>
        <v xml:space="preserve">   340130</v>
      </c>
      <c r="B8476"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8476">
        <v>6136697</v>
      </c>
      <c r="D8476">
        <v>1666</v>
      </c>
    </row>
    <row r="8477" spans="1:4" x14ac:dyDescent="0.25">
      <c r="A8477" t="str">
        <f>T("   340399")</f>
        <v xml:space="preserve">   340399</v>
      </c>
      <c r="B8477" t="s">
        <v>112</v>
      </c>
      <c r="C8477">
        <v>11205</v>
      </c>
      <c r="D8477">
        <v>1</v>
      </c>
    </row>
    <row r="8478" spans="1:4" x14ac:dyDescent="0.25">
      <c r="A8478" t="str">
        <f>T("   350699")</f>
        <v xml:space="preserve">   350699</v>
      </c>
      <c r="B8478" t="str">
        <f>T("   Colles et autres adhésifs préparés, n.d.a.")</f>
        <v xml:space="preserve">   Colles et autres adhésifs préparés, n.d.a.</v>
      </c>
      <c r="C8478">
        <v>310320</v>
      </c>
      <c r="D8478">
        <v>14</v>
      </c>
    </row>
    <row r="8479" spans="1:4" x14ac:dyDescent="0.25">
      <c r="A8479" t="str">
        <f>T("   380850")</f>
        <v xml:space="preserve">   380850</v>
      </c>
      <c r="B8479" t="s">
        <v>125</v>
      </c>
      <c r="C8479">
        <v>9445824</v>
      </c>
      <c r="D8479">
        <v>10148</v>
      </c>
    </row>
    <row r="8480" spans="1:4" x14ac:dyDescent="0.25">
      <c r="A8480" t="str">
        <f>T("   381600")</f>
        <v xml:space="preserve">   381600</v>
      </c>
      <c r="B8480"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8480">
        <v>1716646</v>
      </c>
      <c r="D8480">
        <v>4140</v>
      </c>
    </row>
    <row r="8481" spans="1:4" x14ac:dyDescent="0.25">
      <c r="A8481" t="str">
        <f>T("   382200")</f>
        <v xml:space="preserve">   382200</v>
      </c>
      <c r="B8481" t="s">
        <v>133</v>
      </c>
      <c r="C8481">
        <v>621850</v>
      </c>
      <c r="D8481">
        <v>88</v>
      </c>
    </row>
    <row r="8482" spans="1:4" x14ac:dyDescent="0.25">
      <c r="A8482" t="str">
        <f>T("   390950")</f>
        <v xml:space="preserve">   390950</v>
      </c>
      <c r="B8482" t="str">
        <f>T("   Polyuréthannes, sous formes primaires")</f>
        <v xml:space="preserve">   Polyuréthannes, sous formes primaires</v>
      </c>
      <c r="C8482">
        <v>5355203</v>
      </c>
      <c r="D8482">
        <v>90</v>
      </c>
    </row>
    <row r="8483" spans="1:4" x14ac:dyDescent="0.25">
      <c r="A8483" t="str">
        <f>T("   391000")</f>
        <v xml:space="preserve">   391000</v>
      </c>
      <c r="B8483" t="str">
        <f>T("   Silicones sous formes primaires")</f>
        <v xml:space="preserve">   Silicones sous formes primaires</v>
      </c>
      <c r="C8483">
        <v>39042</v>
      </c>
      <c r="D8483">
        <v>1</v>
      </c>
    </row>
    <row r="8484" spans="1:4" x14ac:dyDescent="0.25">
      <c r="A8484" t="str">
        <f>T("   391739")</f>
        <v xml:space="preserve">   391739</v>
      </c>
      <c r="B848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484">
        <v>2005492</v>
      </c>
      <c r="D8484">
        <v>57</v>
      </c>
    </row>
    <row r="8485" spans="1:4" x14ac:dyDescent="0.25">
      <c r="A8485" t="str">
        <f>T("   391740")</f>
        <v xml:space="preserve">   391740</v>
      </c>
      <c r="B8485" t="str">
        <f>T("   Accessoires pour tubes ou tuyaux [joints, coudes, raccords, par exemple], en matières plastiques")</f>
        <v xml:space="preserve">   Accessoires pour tubes ou tuyaux [joints, coudes, raccords, par exemple], en matières plastiques</v>
      </c>
      <c r="C8485">
        <v>17448915</v>
      </c>
      <c r="D8485">
        <v>1993</v>
      </c>
    </row>
    <row r="8486" spans="1:4" x14ac:dyDescent="0.25">
      <c r="A8486" t="str">
        <f>T("   392310")</f>
        <v xml:space="preserve">   392310</v>
      </c>
      <c r="B8486" t="str">
        <f>T("   Boîtes, caisses, casiers et articles simil. pour le transport ou l'emballage, en matières plastiques")</f>
        <v xml:space="preserve">   Boîtes, caisses, casiers et articles simil. pour le transport ou l'emballage, en matières plastiques</v>
      </c>
      <c r="C8486">
        <v>6791029</v>
      </c>
      <c r="D8486">
        <v>11657</v>
      </c>
    </row>
    <row r="8487" spans="1:4" x14ac:dyDescent="0.25">
      <c r="A8487" t="str">
        <f>T("   392321")</f>
        <v xml:space="preserve">   392321</v>
      </c>
      <c r="B8487" t="str">
        <f>T("   Sacs, sachets, pochettes et cornets, en polymères de l'éthylène")</f>
        <v xml:space="preserve">   Sacs, sachets, pochettes et cornets, en polymères de l'éthylène</v>
      </c>
      <c r="C8487">
        <v>935415</v>
      </c>
      <c r="D8487">
        <v>424</v>
      </c>
    </row>
    <row r="8488" spans="1:4" x14ac:dyDescent="0.25">
      <c r="A8488" t="str">
        <f>T("   392329")</f>
        <v xml:space="preserve">   392329</v>
      </c>
      <c r="B8488" t="str">
        <f>T("   Sacs, sachets, pochettes et cornets, en matières plastiques (autres que les polymères de l'éthylène)")</f>
        <v xml:space="preserve">   Sacs, sachets, pochettes et cornets, en matières plastiques (autres que les polymères de l'éthylène)</v>
      </c>
      <c r="C8488">
        <v>331523</v>
      </c>
      <c r="D8488">
        <v>9</v>
      </c>
    </row>
    <row r="8489" spans="1:4" x14ac:dyDescent="0.25">
      <c r="A8489" t="str">
        <f>T("   392330")</f>
        <v xml:space="preserve">   392330</v>
      </c>
      <c r="B8489" t="str">
        <f>T("   Bonbonnes, bouteilles, flacons et articles simil. pour le transport ou l'emballage, en matières plastiques")</f>
        <v xml:space="preserve">   Bonbonnes, bouteilles, flacons et articles simil. pour le transport ou l'emballage, en matières plastiques</v>
      </c>
      <c r="C8489">
        <v>613978</v>
      </c>
      <c r="D8489">
        <v>102</v>
      </c>
    </row>
    <row r="8490" spans="1:4" x14ac:dyDescent="0.25">
      <c r="A8490" t="str">
        <f>T("   392350")</f>
        <v xml:space="preserve">   392350</v>
      </c>
      <c r="B8490" t="str">
        <f>T("   Bouchons, couvercles, capsules et autres dispositifs de fermeture, en matières plastiques")</f>
        <v xml:space="preserve">   Bouchons, couvercles, capsules et autres dispositifs de fermeture, en matières plastiques</v>
      </c>
      <c r="C8490">
        <v>1639900</v>
      </c>
      <c r="D8490">
        <v>901</v>
      </c>
    </row>
    <row r="8491" spans="1:4" x14ac:dyDescent="0.25">
      <c r="A8491" t="str">
        <f>T("   392410")</f>
        <v xml:space="preserve">   392410</v>
      </c>
      <c r="B8491" t="str">
        <f>T("   Vaisselle et autres articles pour le service de la table ou de la cuisine, en matières plastiques")</f>
        <v xml:space="preserve">   Vaisselle et autres articles pour le service de la table ou de la cuisine, en matières plastiques</v>
      </c>
      <c r="C8491">
        <v>2737977</v>
      </c>
      <c r="D8491">
        <v>2756</v>
      </c>
    </row>
    <row r="8492" spans="1:4" x14ac:dyDescent="0.25">
      <c r="A8492" t="str">
        <f>T("   392490")</f>
        <v xml:space="preserve">   392490</v>
      </c>
      <c r="B8492" t="s">
        <v>157</v>
      </c>
      <c r="C8492">
        <v>144967</v>
      </c>
      <c r="D8492">
        <v>47</v>
      </c>
    </row>
    <row r="8493" spans="1:4" x14ac:dyDescent="0.25">
      <c r="A8493" t="str">
        <f>T("   392640")</f>
        <v xml:space="preserve">   392640</v>
      </c>
      <c r="B8493" t="str">
        <f>T("   Statuettes et autres objets d'ornementation, en matières plastiques")</f>
        <v xml:space="preserve">   Statuettes et autres objets d'ornementation, en matières plastiques</v>
      </c>
      <c r="C8493">
        <v>665144</v>
      </c>
      <c r="D8493">
        <v>672</v>
      </c>
    </row>
    <row r="8494" spans="1:4" x14ac:dyDescent="0.25">
      <c r="A8494" t="str">
        <f>T("   392690")</f>
        <v xml:space="preserve">   392690</v>
      </c>
      <c r="B8494" t="str">
        <f>T("   Ouvrages en matières plastiques et ouvrages en autres matières du n° 3901 à 3914, n.d.a.")</f>
        <v xml:space="preserve">   Ouvrages en matières plastiques et ouvrages en autres matières du n° 3901 à 3914, n.d.a.</v>
      </c>
      <c r="C8494">
        <v>2959494</v>
      </c>
      <c r="D8494">
        <v>246</v>
      </c>
    </row>
    <row r="8495" spans="1:4" x14ac:dyDescent="0.25">
      <c r="A8495" t="str">
        <f>T("   400921")</f>
        <v xml:space="preserve">   400921</v>
      </c>
      <c r="B8495"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8495">
        <v>1647345</v>
      </c>
      <c r="D8495">
        <v>69</v>
      </c>
    </row>
    <row r="8496" spans="1:4" x14ac:dyDescent="0.25">
      <c r="A8496" t="str">
        <f>T("   400942")</f>
        <v xml:space="preserve">   400942</v>
      </c>
      <c r="B8496" t="s">
        <v>163</v>
      </c>
      <c r="C8496">
        <v>201307</v>
      </c>
      <c r="D8496">
        <v>4</v>
      </c>
    </row>
    <row r="8497" spans="1:4" x14ac:dyDescent="0.25">
      <c r="A8497" t="str">
        <f>T("   401039")</f>
        <v xml:space="preserve">   401039</v>
      </c>
      <c r="B8497" t="s">
        <v>164</v>
      </c>
      <c r="C8497">
        <v>65596</v>
      </c>
      <c r="D8497">
        <v>10</v>
      </c>
    </row>
    <row r="8498" spans="1:4" x14ac:dyDescent="0.25">
      <c r="A8498" t="str">
        <f>T("   401211")</f>
        <v xml:space="preserve">   401211</v>
      </c>
      <c r="B8498"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8498">
        <v>597000</v>
      </c>
      <c r="D8498">
        <v>2000</v>
      </c>
    </row>
    <row r="8499" spans="1:4" x14ac:dyDescent="0.25">
      <c r="A8499" t="str">
        <f>T("   401511")</f>
        <v xml:space="preserve">   401511</v>
      </c>
      <c r="B8499" t="str">
        <f>T("   Gants en caoutchouc vulcanisé non durci, pour la chirurgie")</f>
        <v xml:space="preserve">   Gants en caoutchouc vulcanisé non durci, pour la chirurgie</v>
      </c>
      <c r="C8499">
        <v>4078103</v>
      </c>
      <c r="D8499">
        <v>556</v>
      </c>
    </row>
    <row r="8500" spans="1:4" x14ac:dyDescent="0.25">
      <c r="A8500" t="str">
        <f>T("   401693")</f>
        <v xml:space="preserve">   401693</v>
      </c>
      <c r="B8500" t="str">
        <f>T("   Joints en caoutchouc vulcanisé non durci (à l'excl. des articles en caoutchouc alvéolaire)")</f>
        <v xml:space="preserve">   Joints en caoutchouc vulcanisé non durci (à l'excl. des articles en caoutchouc alvéolaire)</v>
      </c>
      <c r="C8500">
        <v>4331628</v>
      </c>
      <c r="D8500">
        <v>18.100000000000001</v>
      </c>
    </row>
    <row r="8501" spans="1:4" x14ac:dyDescent="0.25">
      <c r="A8501" t="str">
        <f>T("   401699")</f>
        <v xml:space="preserve">   401699</v>
      </c>
      <c r="B8501" t="str">
        <f>T("   OUVRAGES EN CAOUTCHOUC VULCANISÉ NON-DURCI, N.D.A.")</f>
        <v xml:space="preserve">   OUVRAGES EN CAOUTCHOUC VULCANISÉ NON-DURCI, N.D.A.</v>
      </c>
      <c r="C8501">
        <v>2928183</v>
      </c>
      <c r="D8501">
        <v>34.049999999999997</v>
      </c>
    </row>
    <row r="8502" spans="1:4" x14ac:dyDescent="0.25">
      <c r="A8502" t="str">
        <f>T("   420221")</f>
        <v xml:space="preserve">   420221</v>
      </c>
      <c r="B8502"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8502">
        <v>3729093</v>
      </c>
      <c r="D8502">
        <v>82</v>
      </c>
    </row>
    <row r="8503" spans="1:4" x14ac:dyDescent="0.25">
      <c r="A8503" t="str">
        <f>T("   420231")</f>
        <v xml:space="preserve">   420231</v>
      </c>
      <c r="B8503" t="str">
        <f>T("   Portefeuilles, porte-monnaie, étuis à clés ou à cigarettes, blagues à tabac et articles simil. de poche ou de sac à main, à surface extérieure en cuir naturel, en cuir reconstitué ou en cuir verni")</f>
        <v xml:space="preserve">   Portefeuilles, porte-monnaie, étuis à clés ou à cigarettes, blagues à tabac et articles simil. de poche ou de sac à main, à surface extérieure en cuir naturel, en cuir reconstitué ou en cuir verni</v>
      </c>
      <c r="C8503">
        <v>9093350</v>
      </c>
      <c r="D8503">
        <v>102</v>
      </c>
    </row>
    <row r="8504" spans="1:4" x14ac:dyDescent="0.25">
      <c r="A8504" t="str">
        <f>T("   420299")</f>
        <v xml:space="preserve">   420299</v>
      </c>
      <c r="B8504" t="s">
        <v>174</v>
      </c>
      <c r="C8504">
        <v>1961150</v>
      </c>
      <c r="D8504">
        <v>145</v>
      </c>
    </row>
    <row r="8505" spans="1:4" x14ac:dyDescent="0.25">
      <c r="A8505" t="str">
        <f>T("   420330")</f>
        <v xml:space="preserve">   420330</v>
      </c>
      <c r="B8505" t="str">
        <f>T("   Ceintures, ceinturons et baudriers, en cuir naturel ou reconstitué")</f>
        <v xml:space="preserve">   Ceintures, ceinturons et baudriers, en cuir naturel ou reconstitué</v>
      </c>
      <c r="C8505">
        <v>108233</v>
      </c>
      <c r="D8505">
        <v>0.9</v>
      </c>
    </row>
    <row r="8506" spans="1:4" x14ac:dyDescent="0.25">
      <c r="A8506" t="str">
        <f>T("   480257")</f>
        <v xml:space="preserve">   480257</v>
      </c>
      <c r="B8506" t="s">
        <v>208</v>
      </c>
      <c r="C8506">
        <v>21502324</v>
      </c>
      <c r="D8506">
        <v>48063.5</v>
      </c>
    </row>
    <row r="8507" spans="1:4" x14ac:dyDescent="0.25">
      <c r="A8507" t="str">
        <f>T("   480269")</f>
        <v xml:space="preserve">   480269</v>
      </c>
      <c r="B8507" t="s">
        <v>208</v>
      </c>
      <c r="C8507">
        <v>70348363</v>
      </c>
      <c r="D8507">
        <v>148432</v>
      </c>
    </row>
    <row r="8508" spans="1:4" x14ac:dyDescent="0.25">
      <c r="A8508" t="str">
        <f>T("   480920")</f>
        <v xml:space="preserve">   480920</v>
      </c>
      <c r="B8508"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8508">
        <v>21169371</v>
      </c>
      <c r="D8508">
        <v>24310</v>
      </c>
    </row>
    <row r="8509" spans="1:4" x14ac:dyDescent="0.25">
      <c r="A8509" t="str">
        <f>T("   481019")</f>
        <v xml:space="preserve">   481019</v>
      </c>
      <c r="B8509" t="s">
        <v>221</v>
      </c>
      <c r="C8509">
        <v>5386259</v>
      </c>
      <c r="D8509">
        <v>20162.400000000001</v>
      </c>
    </row>
    <row r="8510" spans="1:4" x14ac:dyDescent="0.25">
      <c r="A8510" t="str">
        <f>T("   481029")</f>
        <v xml:space="preserve">   481029</v>
      </c>
      <c r="B8510" t="s">
        <v>222</v>
      </c>
      <c r="C8510">
        <v>27132308</v>
      </c>
      <c r="D8510">
        <v>58446</v>
      </c>
    </row>
    <row r="8511" spans="1:4" x14ac:dyDescent="0.25">
      <c r="A8511" t="str">
        <f>T("   481039")</f>
        <v xml:space="preserve">   481039</v>
      </c>
      <c r="B8511" t="s">
        <v>224</v>
      </c>
      <c r="C8511">
        <v>13119</v>
      </c>
      <c r="D8511">
        <v>10</v>
      </c>
    </row>
    <row r="8512" spans="1:4" x14ac:dyDescent="0.25">
      <c r="A8512" t="str">
        <f>T("   481910")</f>
        <v xml:space="preserve">   481910</v>
      </c>
      <c r="B8512" t="str">
        <f>T("   Boîtes et caisses en papier ou en carton ondulé")</f>
        <v xml:space="preserve">   Boîtes et caisses en papier ou en carton ondulé</v>
      </c>
      <c r="C8512">
        <v>34379</v>
      </c>
      <c r="D8512">
        <v>10</v>
      </c>
    </row>
    <row r="8513" spans="1:4" x14ac:dyDescent="0.25">
      <c r="A8513" t="str">
        <f>T("   481920")</f>
        <v xml:space="preserve">   481920</v>
      </c>
      <c r="B8513" t="str">
        <f>T("   Boîtes et cartonnages, pliants, en papier ou en carton non ondulé")</f>
        <v xml:space="preserve">   Boîtes et cartonnages, pliants, en papier ou en carton non ondulé</v>
      </c>
      <c r="C8513">
        <v>8269565</v>
      </c>
      <c r="D8513">
        <v>423.6</v>
      </c>
    </row>
    <row r="8514" spans="1:4" x14ac:dyDescent="0.25">
      <c r="A8514" t="str">
        <f>T("   481940")</f>
        <v xml:space="preserve">   481940</v>
      </c>
      <c r="B8514"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514">
        <v>18604826</v>
      </c>
      <c r="D8514">
        <v>4958.2</v>
      </c>
    </row>
    <row r="8515" spans="1:4" x14ac:dyDescent="0.25">
      <c r="A8515" t="str">
        <f>T("   481950")</f>
        <v xml:space="preserve">   481950</v>
      </c>
      <c r="B8515" t="s">
        <v>233</v>
      </c>
      <c r="C8515">
        <v>9839</v>
      </c>
      <c r="D8515">
        <v>2</v>
      </c>
    </row>
    <row r="8516" spans="1:4" x14ac:dyDescent="0.25">
      <c r="A8516" t="str">
        <f>T("   482050")</f>
        <v xml:space="preserve">   482050</v>
      </c>
      <c r="B8516" t="str">
        <f>T("   Albums pour échantillonnages ou pour collections, en papier ou en carton")</f>
        <v xml:space="preserve">   Albums pour échantillonnages ou pour collections, en papier ou en carton</v>
      </c>
      <c r="C8516">
        <v>117417</v>
      </c>
      <c r="D8516">
        <v>118</v>
      </c>
    </row>
    <row r="8517" spans="1:4" x14ac:dyDescent="0.25">
      <c r="A8517" t="str">
        <f>T("   482190")</f>
        <v xml:space="preserve">   482190</v>
      </c>
      <c r="B8517" t="str">
        <f>T("   ÉTIQUETTES DE TOUS GENRES, EN PAPIER OU EN CARTON, NON-IMPRIMÉES")</f>
        <v xml:space="preserve">   ÉTIQUETTES DE TOUS GENRES, EN PAPIER OU EN CARTON, NON-IMPRIMÉES</v>
      </c>
      <c r="C8517">
        <v>111093</v>
      </c>
      <c r="D8517">
        <v>19</v>
      </c>
    </row>
    <row r="8518" spans="1:4" x14ac:dyDescent="0.25">
      <c r="A8518" t="str">
        <f>T("   490199")</f>
        <v xml:space="preserve">   490199</v>
      </c>
      <c r="B85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518">
        <v>1357837</v>
      </c>
      <c r="D8518">
        <v>200</v>
      </c>
    </row>
    <row r="8519" spans="1:4" x14ac:dyDescent="0.25">
      <c r="A8519" t="str">
        <f>T("   491000")</f>
        <v xml:space="preserve">   491000</v>
      </c>
      <c r="B8519" t="str">
        <f>T("   Calendriers de tous genres, imprimés, y.c. les blocs de calendriers à effeuiller")</f>
        <v xml:space="preserve">   Calendriers de tous genres, imprimés, y.c. les blocs de calendriers à effeuiller</v>
      </c>
      <c r="C8519">
        <v>3689782</v>
      </c>
      <c r="D8519">
        <v>313</v>
      </c>
    </row>
    <row r="8520" spans="1:4" x14ac:dyDescent="0.25">
      <c r="A8520" t="str">
        <f>T("   491110")</f>
        <v xml:space="preserve">   491110</v>
      </c>
      <c r="B8520" t="str">
        <f>T("   Imprimés publicitaires, catalogues commerciaux et simil.")</f>
        <v xml:space="preserve">   Imprimés publicitaires, catalogues commerciaux et simil.</v>
      </c>
      <c r="C8520">
        <v>32248807</v>
      </c>
      <c r="D8520">
        <v>7673.9</v>
      </c>
    </row>
    <row r="8521" spans="1:4" x14ac:dyDescent="0.25">
      <c r="A8521" t="str">
        <f>T("   491199")</f>
        <v xml:space="preserve">   491199</v>
      </c>
      <c r="B8521" t="str">
        <f>T("   Imprimés, n.d.a.")</f>
        <v xml:space="preserve">   Imprimés, n.d.a.</v>
      </c>
      <c r="C8521">
        <v>5624585</v>
      </c>
      <c r="D8521">
        <v>1628.73</v>
      </c>
    </row>
    <row r="8522" spans="1:4" x14ac:dyDescent="0.25">
      <c r="A8522" t="str">
        <f>T("   520852")</f>
        <v xml:space="preserve">   520852</v>
      </c>
      <c r="B8522" t="str">
        <f>T("   Tissus de coton, imprimés, à armure toile, contenant &gt;= 85% en poids de coton, d'un poids &gt; 100 g/m² mais &lt;= 200 g/m²")</f>
        <v xml:space="preserve">   Tissus de coton, imprimés, à armure toile, contenant &gt;= 85% en poids de coton, d'un poids &gt; 100 g/m² mais &lt;= 200 g/m²</v>
      </c>
      <c r="C8522">
        <v>7540889236</v>
      </c>
      <c r="D8522">
        <v>1010827.7</v>
      </c>
    </row>
    <row r="8523" spans="1:4" x14ac:dyDescent="0.25">
      <c r="A8523" t="str">
        <f>T("   520951")</f>
        <v xml:space="preserve">   520951</v>
      </c>
      <c r="B8523" t="str">
        <f>T("   Tissus de coton, imprimés, à armure toile, contenant &gt;= 85% en poids de coton, d'un poids &gt; 200 g/m²")</f>
        <v xml:space="preserve">   Tissus de coton, imprimés, à armure toile, contenant &gt;= 85% en poids de coton, d'un poids &gt; 200 g/m²</v>
      </c>
      <c r="C8523">
        <v>17000000</v>
      </c>
      <c r="D8523">
        <v>10280</v>
      </c>
    </row>
    <row r="8524" spans="1:4" x14ac:dyDescent="0.25">
      <c r="A8524" t="str">
        <f>T("   551419")</f>
        <v xml:space="preserve">   551419</v>
      </c>
      <c r="B8524" t="s">
        <v>251</v>
      </c>
      <c r="C8524">
        <v>17000000</v>
      </c>
      <c r="D8524">
        <v>8896</v>
      </c>
    </row>
    <row r="8525" spans="1:4" x14ac:dyDescent="0.25">
      <c r="A8525" t="str">
        <f>T("   570390")</f>
        <v xml:space="preserve">   570390</v>
      </c>
      <c r="B8525"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525">
        <v>45000</v>
      </c>
      <c r="D8525">
        <v>15</v>
      </c>
    </row>
    <row r="8526" spans="1:4" x14ac:dyDescent="0.25">
      <c r="A8526" t="str">
        <f>T("   570500")</f>
        <v xml:space="preserve">   570500</v>
      </c>
      <c r="B8526"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8526">
        <v>209907</v>
      </c>
      <c r="D8526">
        <v>850</v>
      </c>
    </row>
    <row r="8527" spans="1:4" x14ac:dyDescent="0.25">
      <c r="A8527" t="str">
        <f>T("   581091")</f>
        <v xml:space="preserve">   581091</v>
      </c>
      <c r="B8527"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8527">
        <v>1215940</v>
      </c>
      <c r="D8527">
        <v>6.8</v>
      </c>
    </row>
    <row r="8528" spans="1:4" x14ac:dyDescent="0.25">
      <c r="A8528" t="str">
        <f>T("   581099")</f>
        <v xml:space="preserve">   581099</v>
      </c>
      <c r="B8528"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8528">
        <v>80000</v>
      </c>
      <c r="D8528">
        <v>41</v>
      </c>
    </row>
    <row r="8529" spans="1:4" x14ac:dyDescent="0.25">
      <c r="A8529" t="str">
        <f>T("   590390")</f>
        <v xml:space="preserve">   590390</v>
      </c>
      <c r="B8529" t="s">
        <v>270</v>
      </c>
      <c r="C8529">
        <v>155471</v>
      </c>
      <c r="D8529">
        <v>115</v>
      </c>
    </row>
    <row r="8530" spans="1:4" x14ac:dyDescent="0.25">
      <c r="A8530" t="str">
        <f>T("   610910")</f>
        <v xml:space="preserve">   610910</v>
      </c>
      <c r="B8530" t="str">
        <f>T("   T-shirts et maillots de corps, en bonneterie, de coton,")</f>
        <v xml:space="preserve">   T-shirts et maillots de corps, en bonneterie, de coton,</v>
      </c>
      <c r="C8530">
        <v>118073</v>
      </c>
      <c r="D8530">
        <v>94</v>
      </c>
    </row>
    <row r="8531" spans="1:4" x14ac:dyDescent="0.25">
      <c r="A8531" t="str">
        <f>T("   620111")</f>
        <v xml:space="preserve">   620111</v>
      </c>
      <c r="B8531" t="str">
        <f>T("   Manteaux, imperméables, cabans, capes et articles simil., de laine ou poils fins, pour hommes ou garçonnets (à l'excl. des articles en bonneterie)")</f>
        <v xml:space="preserve">   Manteaux, imperméables, cabans, capes et articles simil., de laine ou poils fins, pour hommes ou garçonnets (à l'excl. des articles en bonneterie)</v>
      </c>
      <c r="C8531">
        <v>13481463</v>
      </c>
      <c r="D8531">
        <v>298</v>
      </c>
    </row>
    <row r="8532" spans="1:4" x14ac:dyDescent="0.25">
      <c r="A8532" t="str">
        <f>T("   620219")</f>
        <v xml:space="preserve">   620219</v>
      </c>
      <c r="B8532" t="str">
        <f>T("   Manteaux, imperméables, cabans, capes et articles simil., de matières textiles, pour femmes ou fillettes (autres que laine, poils fins, coton, fibres synthétiques ou artificielles et à l'excl. des articles en bonneterie)")</f>
        <v xml:space="preserve">   Manteaux, imperméables, cabans, capes et articles simil., de matières textiles, pour femmes ou fillettes (autres que laine, poils fins, coton, fibres synthétiques ou artificielles et à l'excl. des articles en bonneterie)</v>
      </c>
      <c r="C8532">
        <v>16000</v>
      </c>
      <c r="D8532">
        <v>10</v>
      </c>
    </row>
    <row r="8533" spans="1:4" x14ac:dyDescent="0.25">
      <c r="A8533" t="str">
        <f>T("   620319")</f>
        <v xml:space="preserve">   620319</v>
      </c>
      <c r="B8533" t="s">
        <v>288</v>
      </c>
      <c r="C8533">
        <v>325000</v>
      </c>
      <c r="D8533">
        <v>1700</v>
      </c>
    </row>
    <row r="8534" spans="1:4" x14ac:dyDescent="0.25">
      <c r="A8534" t="str">
        <f>T("   620339")</f>
        <v xml:space="preserve">   620339</v>
      </c>
      <c r="B8534"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8534">
        <v>452612</v>
      </c>
      <c r="D8534">
        <v>78</v>
      </c>
    </row>
    <row r="8535" spans="1:4" x14ac:dyDescent="0.25">
      <c r="A8535" t="str">
        <f>T("   620432")</f>
        <v xml:space="preserve">   620432</v>
      </c>
      <c r="B8535" t="str">
        <f>T("   Vestes de coton, pour femmes ou fillettes (autres qu'en bonneterie et sauf anoraks et articles simil.)")</f>
        <v xml:space="preserve">   Vestes de coton, pour femmes ou fillettes (autres qu'en bonneterie et sauf anoraks et articles simil.)</v>
      </c>
      <c r="C8535">
        <v>3267427</v>
      </c>
      <c r="D8535">
        <v>18.5</v>
      </c>
    </row>
    <row r="8536" spans="1:4" x14ac:dyDescent="0.25">
      <c r="A8536" t="str">
        <f>T("   620442")</f>
        <v xml:space="preserve">   620442</v>
      </c>
      <c r="B8536" t="str">
        <f>T("   Robes de coton, pour femmes ou fillettes (autres qu'en bonneterie et sauf combinaisons et fonds de robes)")</f>
        <v xml:space="preserve">   Robes de coton, pour femmes ou fillettes (autres qu'en bonneterie et sauf combinaisons et fonds de robes)</v>
      </c>
      <c r="C8536">
        <v>10213787</v>
      </c>
      <c r="D8536">
        <v>60.9</v>
      </c>
    </row>
    <row r="8537" spans="1:4" x14ac:dyDescent="0.25">
      <c r="A8537" t="str">
        <f>T("   620590")</f>
        <v xml:space="preserve">   620590</v>
      </c>
      <c r="B853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537">
        <v>1000000</v>
      </c>
      <c r="D8537">
        <v>1150</v>
      </c>
    </row>
    <row r="8538" spans="1:4" x14ac:dyDescent="0.25">
      <c r="A8538" t="str">
        <f>T("   620610")</f>
        <v xml:space="preserve">   620610</v>
      </c>
      <c r="B8538" t="str">
        <f>T("   Chemisiers, blouses, blouses-chemisiers et chemisettes, de soie ou de déchets de soie, pour femmes ou fillettes (autres qu'en bonneterie et sauf gilets de corps et chemises de jour)")</f>
        <v xml:space="preserve">   Chemisiers, blouses, blouses-chemisiers et chemisettes, de soie ou de déchets de soie, pour femmes ou fillettes (autres qu'en bonneterie et sauf gilets de corps et chemises de jour)</v>
      </c>
      <c r="C8538">
        <v>185034</v>
      </c>
      <c r="D8538">
        <v>1</v>
      </c>
    </row>
    <row r="8539" spans="1:4" x14ac:dyDescent="0.25">
      <c r="A8539" t="str">
        <f>T("   621040")</f>
        <v xml:space="preserve">   621040</v>
      </c>
      <c r="B8539" t="s">
        <v>294</v>
      </c>
      <c r="C8539">
        <v>2906154</v>
      </c>
      <c r="D8539">
        <v>4160</v>
      </c>
    </row>
    <row r="8540" spans="1:4" x14ac:dyDescent="0.25">
      <c r="A8540" t="str">
        <f>T("   621410")</f>
        <v xml:space="preserve">   621410</v>
      </c>
      <c r="B8540"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8540">
        <v>5511135</v>
      </c>
      <c r="D8540">
        <v>13.3</v>
      </c>
    </row>
    <row r="8541" spans="1:4" x14ac:dyDescent="0.25">
      <c r="A8541" t="str">
        <f>T("   630649")</f>
        <v xml:space="preserve">   630649</v>
      </c>
      <c r="B8541" t="str">
        <f>T("   Matelas pneumatiques de matières textiles (autres que de coton)")</f>
        <v xml:space="preserve">   Matelas pneumatiques de matières textiles (autres que de coton)</v>
      </c>
      <c r="C8541">
        <v>175000</v>
      </c>
      <c r="D8541">
        <v>500</v>
      </c>
    </row>
    <row r="8542" spans="1:4" x14ac:dyDescent="0.25">
      <c r="A8542" t="str">
        <f>T("   630900")</f>
        <v xml:space="preserve">   630900</v>
      </c>
      <c r="B8542" t="s">
        <v>300</v>
      </c>
      <c r="C8542">
        <v>245065217</v>
      </c>
      <c r="D8542">
        <v>407283</v>
      </c>
    </row>
    <row r="8543" spans="1:4" x14ac:dyDescent="0.25">
      <c r="A8543" t="str">
        <f>T("   640299")</f>
        <v xml:space="preserve">   640299</v>
      </c>
      <c r="B8543" t="s">
        <v>305</v>
      </c>
      <c r="C8543">
        <v>13400839</v>
      </c>
      <c r="D8543">
        <v>28000</v>
      </c>
    </row>
    <row r="8544" spans="1:4" x14ac:dyDescent="0.25">
      <c r="A8544" t="str">
        <f>T("   650590")</f>
        <v xml:space="preserve">   650590</v>
      </c>
      <c r="B8544" t="s">
        <v>312</v>
      </c>
      <c r="C8544">
        <v>61660</v>
      </c>
      <c r="D8544">
        <v>24</v>
      </c>
    </row>
    <row r="8545" spans="1:4" x14ac:dyDescent="0.25">
      <c r="A8545" t="str">
        <f>T("   680422")</f>
        <v xml:space="preserve">   680422</v>
      </c>
      <c r="B8545" t="s">
        <v>321</v>
      </c>
      <c r="C8545">
        <v>882266</v>
      </c>
      <c r="D8545">
        <v>900</v>
      </c>
    </row>
    <row r="8546" spans="1:4" x14ac:dyDescent="0.25">
      <c r="A8546" t="str">
        <f>T("   681599")</f>
        <v xml:space="preserve">   681599</v>
      </c>
      <c r="B8546" t="str">
        <f>T("   Ouvrages en pierres ou en autres matières minérales n.d.a. (sauf contenant de la magnésite, de la dolomie ou de la chromite et ouvrages en graphite ou en autre carbone)")</f>
        <v xml:space="preserve">   Ouvrages en pierres ou en autres matières minérales n.d.a. (sauf contenant de la magnésite, de la dolomie ou de la chromite et ouvrages en graphite ou en autre carbone)</v>
      </c>
      <c r="C8546">
        <v>3996764</v>
      </c>
      <c r="D8546">
        <v>5462</v>
      </c>
    </row>
    <row r="8547" spans="1:4" x14ac:dyDescent="0.25">
      <c r="A8547" t="str">
        <f>T("   690210")</f>
        <v xml:space="preserve">   690210</v>
      </c>
      <c r="B8547"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8547">
        <v>49363614</v>
      </c>
      <c r="D8547">
        <v>76036</v>
      </c>
    </row>
    <row r="8548" spans="1:4" x14ac:dyDescent="0.25">
      <c r="A8548" t="str">
        <f>T("   691090")</f>
        <v xml:space="preserve">   691090</v>
      </c>
      <c r="B8548" t="s">
        <v>339</v>
      </c>
      <c r="C8548">
        <v>874395</v>
      </c>
      <c r="D8548">
        <v>4100</v>
      </c>
    </row>
    <row r="8549" spans="1:4" x14ac:dyDescent="0.25">
      <c r="A8549" t="str">
        <f>T("   691490")</f>
        <v xml:space="preserve">   691490</v>
      </c>
      <c r="B8549" t="str">
        <f>T("   Ouvrages en céramique autres que la porcelaine n.d.a.")</f>
        <v xml:space="preserve">   Ouvrages en céramique autres que la porcelaine n.d.a.</v>
      </c>
      <c r="C8549">
        <v>453925</v>
      </c>
      <c r="D8549">
        <v>458</v>
      </c>
    </row>
    <row r="8550" spans="1:4" x14ac:dyDescent="0.25">
      <c r="A8550" t="str">
        <f>T("   700490")</f>
        <v xml:space="preserve">   700490</v>
      </c>
      <c r="B8550"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8550">
        <v>5190859</v>
      </c>
      <c r="D8550">
        <v>22680</v>
      </c>
    </row>
    <row r="8551" spans="1:4" x14ac:dyDescent="0.25">
      <c r="A8551" t="str">
        <f>T("   701349")</f>
        <v xml:space="preserve">   701349</v>
      </c>
      <c r="B8551" t="s">
        <v>353</v>
      </c>
      <c r="C8551">
        <v>881611</v>
      </c>
      <c r="D8551">
        <v>206</v>
      </c>
    </row>
    <row r="8552" spans="1:4" x14ac:dyDescent="0.25">
      <c r="A8552" t="str">
        <f>T("   702000")</f>
        <v xml:space="preserve">   702000</v>
      </c>
      <c r="B8552" t="str">
        <f>T("   Ouvrages en verre n.d.a.")</f>
        <v xml:space="preserve">   Ouvrages en verre n.d.a.</v>
      </c>
      <c r="C8552">
        <v>535474</v>
      </c>
      <c r="D8552">
        <v>442.2</v>
      </c>
    </row>
    <row r="8553" spans="1:4" x14ac:dyDescent="0.25">
      <c r="A8553" t="str">
        <f>T("   730799")</f>
        <v xml:space="preserve">   730799</v>
      </c>
      <c r="B8553"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8553">
        <v>24442861</v>
      </c>
      <c r="D8553">
        <v>1198.2</v>
      </c>
    </row>
    <row r="8554" spans="1:4" x14ac:dyDescent="0.25">
      <c r="A8554" t="str">
        <f>T("   730890")</f>
        <v xml:space="preserve">   730890</v>
      </c>
      <c r="B8554" t="s">
        <v>376</v>
      </c>
      <c r="C8554">
        <v>719356</v>
      </c>
      <c r="D8554">
        <v>140</v>
      </c>
    </row>
    <row r="8555" spans="1:4" x14ac:dyDescent="0.25">
      <c r="A8555" t="str">
        <f>T("   730900")</f>
        <v xml:space="preserve">   730900</v>
      </c>
      <c r="B8555" t="s">
        <v>377</v>
      </c>
      <c r="C8555">
        <v>1419999</v>
      </c>
      <c r="D8555">
        <v>118</v>
      </c>
    </row>
    <row r="8556" spans="1:4" x14ac:dyDescent="0.25">
      <c r="A8556" t="str">
        <f>T("   731100")</f>
        <v xml:space="preserve">   731100</v>
      </c>
      <c r="B8556"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556">
        <v>26528397</v>
      </c>
      <c r="D8556">
        <v>348</v>
      </c>
    </row>
    <row r="8557" spans="1:4" x14ac:dyDescent="0.25">
      <c r="A8557" t="str">
        <f>T("   731290")</f>
        <v xml:space="preserve">   731290</v>
      </c>
      <c r="B8557" t="str">
        <f>T("   Tresses, élingues et simil., en fer ou en acier (sauf produits isolés pour l'électricité)")</f>
        <v xml:space="preserve">   Tresses, élingues et simil., en fer ou en acier (sauf produits isolés pour l'électricité)</v>
      </c>
      <c r="C8557">
        <v>1993078</v>
      </c>
      <c r="D8557">
        <v>166</v>
      </c>
    </row>
    <row r="8558" spans="1:4" x14ac:dyDescent="0.25">
      <c r="A8558" t="str">
        <f>T("   731700")</f>
        <v xml:space="preserve">   731700</v>
      </c>
      <c r="B8558"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558">
        <v>9183</v>
      </c>
      <c r="D8558">
        <v>6.6</v>
      </c>
    </row>
    <row r="8559" spans="1:4" x14ac:dyDescent="0.25">
      <c r="A8559" t="str">
        <f>T("   731815")</f>
        <v xml:space="preserve">   731815</v>
      </c>
      <c r="B8559" t="s">
        <v>380</v>
      </c>
      <c r="C8559">
        <v>37611</v>
      </c>
      <c r="D8559">
        <v>1</v>
      </c>
    </row>
    <row r="8560" spans="1:4" x14ac:dyDescent="0.25">
      <c r="A8560" t="str">
        <f>T("   731816")</f>
        <v xml:space="preserve">   731816</v>
      </c>
      <c r="B8560" t="str">
        <f>T("   ÉCROUS EN FONTE, FER OU ACIER")</f>
        <v xml:space="preserve">   ÉCROUS EN FONTE, FER OU ACIER</v>
      </c>
      <c r="C8560">
        <v>653316</v>
      </c>
      <c r="D8560">
        <v>28</v>
      </c>
    </row>
    <row r="8561" spans="1:4" x14ac:dyDescent="0.25">
      <c r="A8561" t="str">
        <f>T("   731819")</f>
        <v xml:space="preserve">   731819</v>
      </c>
      <c r="B8561" t="str">
        <f>T("   Articles de boulonnerie et de visserie, filetés, en fonte, fer ou acier, n.d.a.")</f>
        <v xml:space="preserve">   Articles de boulonnerie et de visserie, filetés, en fonte, fer ou acier, n.d.a.</v>
      </c>
      <c r="C8561">
        <v>204004</v>
      </c>
      <c r="D8561">
        <v>27.5</v>
      </c>
    </row>
    <row r="8562" spans="1:4" x14ac:dyDescent="0.25">
      <c r="A8562" t="str">
        <f>T("   731822")</f>
        <v xml:space="preserve">   731822</v>
      </c>
      <c r="B8562" t="str">
        <f>T("   Rondelles en fonte, fer ou acier (sauf rondelles destinées à faire ressort et autres rondelles de blocage)")</f>
        <v xml:space="preserve">   Rondelles en fonte, fer ou acier (sauf rondelles destinées à faire ressort et autres rondelles de blocage)</v>
      </c>
      <c r="C8562">
        <v>6756728</v>
      </c>
      <c r="D8562">
        <v>26.25</v>
      </c>
    </row>
    <row r="8563" spans="1:4" x14ac:dyDescent="0.25">
      <c r="A8563" t="str">
        <f>T("   732090")</f>
        <v xml:space="preserve">   732090</v>
      </c>
      <c r="B8563" t="s">
        <v>381</v>
      </c>
      <c r="C8563">
        <v>220403</v>
      </c>
      <c r="D8563">
        <v>12</v>
      </c>
    </row>
    <row r="8564" spans="1:4" x14ac:dyDescent="0.25">
      <c r="A8564" t="str">
        <f>T("   732394")</f>
        <v xml:space="preserve">   732394</v>
      </c>
      <c r="B8564" t="s">
        <v>389</v>
      </c>
      <c r="C8564">
        <v>1790929</v>
      </c>
      <c r="D8564">
        <v>1950</v>
      </c>
    </row>
    <row r="8565" spans="1:4" x14ac:dyDescent="0.25">
      <c r="A8565" t="str">
        <f>T("   732399")</f>
        <v xml:space="preserve">   732399</v>
      </c>
      <c r="B8565" t="s">
        <v>390</v>
      </c>
      <c r="C8565">
        <v>4853926</v>
      </c>
      <c r="D8565">
        <v>23327</v>
      </c>
    </row>
    <row r="8566" spans="1:4" x14ac:dyDescent="0.25">
      <c r="A8566" t="str">
        <f>T("   732620")</f>
        <v xml:space="preserve">   732620</v>
      </c>
      <c r="B8566" t="str">
        <f>T("   Ouvrages en fil de fer ou d'acier, n.d.a.")</f>
        <v xml:space="preserve">   Ouvrages en fil de fer ou d'acier, n.d.a.</v>
      </c>
      <c r="C8566">
        <v>431798</v>
      </c>
      <c r="D8566">
        <v>10</v>
      </c>
    </row>
    <row r="8567" spans="1:4" x14ac:dyDescent="0.25">
      <c r="A8567" t="str">
        <f>T("   732690")</f>
        <v xml:space="preserve">   732690</v>
      </c>
      <c r="B856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567">
        <v>265768110</v>
      </c>
      <c r="D8567">
        <v>39426</v>
      </c>
    </row>
    <row r="8568" spans="1:4" x14ac:dyDescent="0.25">
      <c r="A8568" t="str">
        <f>T("   761699")</f>
        <v xml:space="preserve">   761699</v>
      </c>
      <c r="B8568" t="str">
        <f>T("   Ouvrages en aluminium, n.d.a.")</f>
        <v xml:space="preserve">   Ouvrages en aluminium, n.d.a.</v>
      </c>
      <c r="C8568">
        <v>2162333</v>
      </c>
      <c r="D8568">
        <v>153</v>
      </c>
    </row>
    <row r="8569" spans="1:4" x14ac:dyDescent="0.25">
      <c r="A8569" t="str">
        <f>T("   820559")</f>
        <v xml:space="preserve">   820559</v>
      </c>
      <c r="B8569" t="str">
        <f>T("   Outils à main, y.c. -les diamants de vitrier-, en métaux communs, n.d.a.")</f>
        <v xml:space="preserve">   Outils à main, y.c. -les diamants de vitrier-, en métaux communs, n.d.a.</v>
      </c>
      <c r="C8569">
        <v>214701</v>
      </c>
      <c r="D8569">
        <v>301</v>
      </c>
    </row>
    <row r="8570" spans="1:4" x14ac:dyDescent="0.25">
      <c r="A8570" t="str">
        <f>T("   820719")</f>
        <v xml:space="preserve">   820719</v>
      </c>
      <c r="B8570"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8570">
        <v>1879325</v>
      </c>
      <c r="D8570">
        <v>33</v>
      </c>
    </row>
    <row r="8571" spans="1:4" x14ac:dyDescent="0.25">
      <c r="A8571" t="str">
        <f>T("   820790")</f>
        <v xml:space="preserve">   820790</v>
      </c>
      <c r="B8571" t="str">
        <f>T("   Outils interchangeables pour outillage à main, mécanique ou non, ou pour machines-outils, n.d.a.")</f>
        <v xml:space="preserve">   Outils interchangeables pour outillage à main, mécanique ou non, ou pour machines-outils, n.d.a.</v>
      </c>
      <c r="C8571">
        <v>35734745</v>
      </c>
      <c r="D8571">
        <v>480</v>
      </c>
    </row>
    <row r="8572" spans="1:4" x14ac:dyDescent="0.25">
      <c r="A8572" t="str">
        <f>T("   821599")</f>
        <v xml:space="preserve">   821599</v>
      </c>
      <c r="B8572" t="s">
        <v>404</v>
      </c>
      <c r="C8572">
        <v>860619</v>
      </c>
      <c r="D8572">
        <v>868</v>
      </c>
    </row>
    <row r="8573" spans="1:4" x14ac:dyDescent="0.25">
      <c r="A8573" t="str">
        <f>T("   830241")</f>
        <v xml:space="preserve">   830241</v>
      </c>
      <c r="B8573"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8573">
        <v>1127735</v>
      </c>
      <c r="D8573">
        <v>94</v>
      </c>
    </row>
    <row r="8574" spans="1:4" x14ac:dyDescent="0.25">
      <c r="A8574" t="str">
        <f>T("   830629")</f>
        <v xml:space="preserve">   830629</v>
      </c>
      <c r="B8574"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8574">
        <v>1581889</v>
      </c>
      <c r="D8574">
        <v>185</v>
      </c>
    </row>
    <row r="8575" spans="1:4" x14ac:dyDescent="0.25">
      <c r="A8575" t="str">
        <f>T("   830710")</f>
        <v xml:space="preserve">   830710</v>
      </c>
      <c r="B8575" t="str">
        <f>T("   Tuyaux flexibles en fer ou en acier, même avec accessoires")</f>
        <v xml:space="preserve">   Tuyaux flexibles en fer ou en acier, même avec accessoires</v>
      </c>
      <c r="C8575">
        <v>10201361</v>
      </c>
      <c r="D8575">
        <v>132</v>
      </c>
    </row>
    <row r="8576" spans="1:4" x14ac:dyDescent="0.25">
      <c r="A8576" t="str">
        <f>T("   830790")</f>
        <v xml:space="preserve">   830790</v>
      </c>
      <c r="B8576" t="str">
        <f>T("   Tuyaux flexibles en métaux communs autres que le fer ou l'acier, même avec accessoires")</f>
        <v xml:space="preserve">   Tuyaux flexibles en métaux communs autres que le fer ou l'acier, même avec accessoires</v>
      </c>
      <c r="C8576">
        <v>2567812</v>
      </c>
      <c r="D8576">
        <v>70</v>
      </c>
    </row>
    <row r="8577" spans="1:4" x14ac:dyDescent="0.25">
      <c r="A8577" t="str">
        <f>T("   831110")</f>
        <v xml:space="preserve">   831110</v>
      </c>
      <c r="B8577" t="str">
        <f>T("   ÉLECTRODES ENROBÉES EN MÉTAUX COMMUNS, POUR LE SOUDAGE À L'ARC")</f>
        <v xml:space="preserve">   ÉLECTRODES ENROBÉES EN MÉTAUX COMMUNS, POUR LE SOUDAGE À L'ARC</v>
      </c>
      <c r="C8577">
        <v>9911325</v>
      </c>
      <c r="D8577">
        <v>19739</v>
      </c>
    </row>
    <row r="8578" spans="1:4" x14ac:dyDescent="0.25">
      <c r="A8578" t="str">
        <f>T("   840220")</f>
        <v xml:space="preserve">   840220</v>
      </c>
      <c r="B8578" t="str">
        <f>T("   Chaudières dites -à eau surchauffée-")</f>
        <v xml:space="preserve">   Chaudières dites -à eau surchauffée-</v>
      </c>
      <c r="C8578">
        <v>11807</v>
      </c>
      <c r="D8578">
        <v>4</v>
      </c>
    </row>
    <row r="8579" spans="1:4" x14ac:dyDescent="0.25">
      <c r="A8579" t="str">
        <f>T("   840999")</f>
        <v xml:space="preserve">   840999</v>
      </c>
      <c r="B8579"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579">
        <v>17755932</v>
      </c>
      <c r="D8579">
        <v>387</v>
      </c>
    </row>
    <row r="8580" spans="1:4" x14ac:dyDescent="0.25">
      <c r="A8580" t="str">
        <f>T("   841221")</f>
        <v xml:space="preserve">   841221</v>
      </c>
      <c r="B8580" t="str">
        <f>T("   Moteurs hydrauliques à mouvement rectiligne -cylindres-")</f>
        <v xml:space="preserve">   Moteurs hydrauliques à mouvement rectiligne -cylindres-</v>
      </c>
      <c r="C8580">
        <v>946500</v>
      </c>
      <c r="D8580">
        <v>79</v>
      </c>
    </row>
    <row r="8581" spans="1:4" x14ac:dyDescent="0.25">
      <c r="A8581" t="str">
        <f>T("   841330")</f>
        <v xml:space="preserve">   841330</v>
      </c>
      <c r="B858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8581">
        <v>12633030</v>
      </c>
      <c r="D8581">
        <v>8</v>
      </c>
    </row>
    <row r="8582" spans="1:4" x14ac:dyDescent="0.25">
      <c r="A8582" t="str">
        <f>T("   841381")</f>
        <v xml:space="preserve">   841381</v>
      </c>
      <c r="B8582" t="s">
        <v>420</v>
      </c>
      <c r="C8582">
        <v>20649416</v>
      </c>
      <c r="D8582">
        <v>1759</v>
      </c>
    </row>
    <row r="8583" spans="1:4" x14ac:dyDescent="0.25">
      <c r="A8583" t="str">
        <f>T("   841821")</f>
        <v xml:space="preserve">   841821</v>
      </c>
      <c r="B8583" t="str">
        <f>T("   Réfrigérateurs ménagers à compression")</f>
        <v xml:space="preserve">   Réfrigérateurs ménagers à compression</v>
      </c>
      <c r="C8583">
        <v>217000</v>
      </c>
      <c r="D8583">
        <v>100</v>
      </c>
    </row>
    <row r="8584" spans="1:4" x14ac:dyDescent="0.25">
      <c r="A8584" t="str">
        <f>T("   841829")</f>
        <v xml:space="preserve">   841829</v>
      </c>
      <c r="B8584" t="str">
        <f>T("   Réfrigérateurs ménagers à absorption, non-électriques")</f>
        <v xml:space="preserve">   Réfrigérateurs ménagers à absorption, non-électriques</v>
      </c>
      <c r="C8584">
        <v>1950923</v>
      </c>
      <c r="D8584">
        <v>6974</v>
      </c>
    </row>
    <row r="8585" spans="1:4" x14ac:dyDescent="0.25">
      <c r="A8585" t="str">
        <f>T("   842119")</f>
        <v xml:space="preserve">   842119</v>
      </c>
      <c r="B8585"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8585">
        <v>50314757</v>
      </c>
      <c r="D8585">
        <v>7261</v>
      </c>
    </row>
    <row r="8586" spans="1:4" x14ac:dyDescent="0.25">
      <c r="A8586" t="str">
        <f>T("   842129")</f>
        <v xml:space="preserve">   842129</v>
      </c>
      <c r="B858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8586">
        <v>1389847</v>
      </c>
      <c r="D8586">
        <v>31</v>
      </c>
    </row>
    <row r="8587" spans="1:4" x14ac:dyDescent="0.25">
      <c r="A8587" t="str">
        <f>T("   842139")</f>
        <v xml:space="preserve">   842139</v>
      </c>
      <c r="B858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587">
        <v>3419976</v>
      </c>
      <c r="D8587">
        <v>5</v>
      </c>
    </row>
    <row r="8588" spans="1:4" x14ac:dyDescent="0.25">
      <c r="A8588" t="str">
        <f>T("   842199")</f>
        <v xml:space="preserve">   842199</v>
      </c>
      <c r="B8588" t="str">
        <f>T("   Parties d'appareils pour la filtration ou l'épuration des liquides ou des gaz, n.d.a.")</f>
        <v xml:space="preserve">   Parties d'appareils pour la filtration ou l'épuration des liquides ou des gaz, n.d.a.</v>
      </c>
      <c r="C8588">
        <v>251672</v>
      </c>
      <c r="D8588">
        <v>9</v>
      </c>
    </row>
    <row r="8589" spans="1:4" x14ac:dyDescent="0.25">
      <c r="A8589" t="str">
        <f>T("   842511")</f>
        <v xml:space="preserve">   842511</v>
      </c>
      <c r="B8589" t="str">
        <f>T("   Palans à moteur électrique")</f>
        <v xml:space="preserve">   Palans à moteur électrique</v>
      </c>
      <c r="C8589">
        <v>34112844</v>
      </c>
      <c r="D8589">
        <v>783</v>
      </c>
    </row>
    <row r="8590" spans="1:4" x14ac:dyDescent="0.25">
      <c r="A8590" t="str">
        <f>T("   842542")</f>
        <v xml:space="preserve">   842542</v>
      </c>
      <c r="B8590" t="str">
        <f>T("   Crics et vérins, hydrauliques (sauf élévateurs fixes des types utilisés dans les garages pour voitures)")</f>
        <v xml:space="preserve">   Crics et vérins, hydrauliques (sauf élévateurs fixes des types utilisés dans les garages pour voitures)</v>
      </c>
      <c r="C8590">
        <v>2101925</v>
      </c>
      <c r="D8590">
        <v>106</v>
      </c>
    </row>
    <row r="8591" spans="1:4" x14ac:dyDescent="0.25">
      <c r="A8591" t="str">
        <f>T("   842720")</f>
        <v xml:space="preserve">   842720</v>
      </c>
      <c r="B8591" t="str">
        <f>T("   Chariots de manutention autopropulsés, autres qu'à moteur électrique, avec dispositif de levage")</f>
        <v xml:space="preserve">   Chariots de manutention autopropulsés, autres qu'à moteur électrique, avec dispositif de levage</v>
      </c>
      <c r="C8591">
        <v>22587563</v>
      </c>
      <c r="D8591">
        <v>3342</v>
      </c>
    </row>
    <row r="8592" spans="1:4" x14ac:dyDescent="0.25">
      <c r="A8592" t="str">
        <f>T("   842920")</f>
        <v xml:space="preserve">   842920</v>
      </c>
      <c r="B8592" t="str">
        <f>T("   Niveleuses autopropulsées")</f>
        <v xml:space="preserve">   Niveleuses autopropulsées</v>
      </c>
      <c r="C8592">
        <v>8855460</v>
      </c>
      <c r="D8592">
        <v>24000</v>
      </c>
    </row>
    <row r="8593" spans="1:4" x14ac:dyDescent="0.25">
      <c r="A8593" t="str">
        <f>T("   843039")</f>
        <v xml:space="preserve">   843039</v>
      </c>
      <c r="B8593"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8593">
        <v>2755144</v>
      </c>
      <c r="D8593">
        <v>184</v>
      </c>
    </row>
    <row r="8594" spans="1:4" x14ac:dyDescent="0.25">
      <c r="A8594" t="str">
        <f>T("   843110")</f>
        <v xml:space="preserve">   843110</v>
      </c>
      <c r="B8594" t="str">
        <f>T("   Parties de palans; treuils, cabestans; crics et vérins, n.d.a.")</f>
        <v xml:space="preserve">   Parties de palans; treuils, cabestans; crics et vérins, n.d.a.</v>
      </c>
      <c r="C8594">
        <v>613323</v>
      </c>
      <c r="D8594">
        <v>24</v>
      </c>
    </row>
    <row r="8595" spans="1:4" x14ac:dyDescent="0.25">
      <c r="A8595" t="str">
        <f>T("   843120")</f>
        <v xml:space="preserve">   843120</v>
      </c>
      <c r="B8595" t="str">
        <f>T("   Parties de chariots-gerbeurs et autres chariots de manutention munis d'un dispositif de levage, n.d.a.")</f>
        <v xml:space="preserve">   Parties de chariots-gerbeurs et autres chariots de manutention munis d'un dispositif de levage, n.d.a.</v>
      </c>
      <c r="C8595">
        <v>1960441</v>
      </c>
      <c r="D8595">
        <v>216</v>
      </c>
    </row>
    <row r="8596" spans="1:4" x14ac:dyDescent="0.25">
      <c r="A8596" t="str">
        <f>T("   843139")</f>
        <v xml:space="preserve">   843139</v>
      </c>
      <c r="B8596" t="str">
        <f>T("   Parties de machines et appareils du n° 8428, n.d.a.")</f>
        <v xml:space="preserve">   Parties de machines et appareils du n° 8428, n.d.a.</v>
      </c>
      <c r="C8596">
        <v>71145825</v>
      </c>
      <c r="D8596">
        <v>9757.15</v>
      </c>
    </row>
    <row r="8597" spans="1:4" x14ac:dyDescent="0.25">
      <c r="A8597" t="str">
        <f>T("   843143")</f>
        <v xml:space="preserve">   843143</v>
      </c>
      <c r="B8597" t="str">
        <f>T("   Parties de machines de sondage ou de forage du n° 8430.41 ou 8430.49, n.d.a.")</f>
        <v xml:space="preserve">   Parties de machines de sondage ou de forage du n° 8430.41 ou 8430.49, n.d.a.</v>
      </c>
      <c r="C8597">
        <v>26397109</v>
      </c>
      <c r="D8597">
        <v>1755</v>
      </c>
    </row>
    <row r="8598" spans="1:4" x14ac:dyDescent="0.25">
      <c r="A8598" t="str">
        <f>T("   843149")</f>
        <v xml:space="preserve">   843149</v>
      </c>
      <c r="B8598" t="str">
        <f>T("   Parties de machines et appareils du n° 8426, 8429 ou 8430, n.d.a.")</f>
        <v xml:space="preserve">   Parties de machines et appareils du n° 8426, 8429 ou 8430, n.d.a.</v>
      </c>
      <c r="C8598">
        <v>424820285</v>
      </c>
      <c r="D8598">
        <v>60485</v>
      </c>
    </row>
    <row r="8599" spans="1:4" x14ac:dyDescent="0.25">
      <c r="A8599" t="str">
        <f>T("   844330")</f>
        <v xml:space="preserve">   844330</v>
      </c>
      <c r="B8599" t="str">
        <f>T("   Machines et appareils à imprimer, flexographiques")</f>
        <v xml:space="preserve">   Machines et appareils à imprimer, flexographiques</v>
      </c>
      <c r="C8599">
        <v>300430</v>
      </c>
      <c r="D8599">
        <v>0.56999999999999995</v>
      </c>
    </row>
    <row r="8600" spans="1:4" x14ac:dyDescent="0.25">
      <c r="A8600" t="str">
        <f>T("   844359")</f>
        <v xml:space="preserve">   844359</v>
      </c>
      <c r="B8600" t="s">
        <v>445</v>
      </c>
      <c r="C8600">
        <v>1843904</v>
      </c>
      <c r="D8600">
        <v>42</v>
      </c>
    </row>
    <row r="8601" spans="1:4" x14ac:dyDescent="0.25">
      <c r="A8601" t="str">
        <f>T("   845210")</f>
        <v xml:space="preserve">   845210</v>
      </c>
      <c r="B8601" t="str">
        <f>T("   Machines à coudre de type ménager")</f>
        <v xml:space="preserve">   Machines à coudre de type ménager</v>
      </c>
      <c r="C8601">
        <v>198863</v>
      </c>
      <c r="D8601">
        <v>9.6</v>
      </c>
    </row>
    <row r="8602" spans="1:4" x14ac:dyDescent="0.25">
      <c r="A8602" t="str">
        <f>T("   846693")</f>
        <v xml:space="preserve">   846693</v>
      </c>
      <c r="B8602" t="str">
        <f>T("   Parties et accessoires pour machines-outils pour le travail du métal avec enlèvement de métal, n.d.a.")</f>
        <v xml:space="preserve">   Parties et accessoires pour machines-outils pour le travail du métal avec enlèvement de métal, n.d.a.</v>
      </c>
      <c r="C8602">
        <v>116105</v>
      </c>
      <c r="D8602">
        <v>1.7</v>
      </c>
    </row>
    <row r="8603" spans="1:4" x14ac:dyDescent="0.25">
      <c r="A8603" t="str">
        <f>T("   847130")</f>
        <v xml:space="preserve">   847130</v>
      </c>
      <c r="B860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603">
        <v>999985</v>
      </c>
      <c r="D8603">
        <v>3.7</v>
      </c>
    </row>
    <row r="8604" spans="1:4" x14ac:dyDescent="0.25">
      <c r="A8604" t="str">
        <f>T("   847141")</f>
        <v xml:space="preserve">   847141</v>
      </c>
      <c r="B8604" t="s">
        <v>458</v>
      </c>
      <c r="C8604">
        <v>5644536</v>
      </c>
      <c r="D8604">
        <v>265</v>
      </c>
    </row>
    <row r="8605" spans="1:4" x14ac:dyDescent="0.25">
      <c r="A8605" t="str">
        <f>T("   847149")</f>
        <v xml:space="preserve">   847149</v>
      </c>
      <c r="B8605" t="s">
        <v>459</v>
      </c>
      <c r="C8605">
        <v>66397671</v>
      </c>
      <c r="D8605">
        <v>902.5</v>
      </c>
    </row>
    <row r="8606" spans="1:4" x14ac:dyDescent="0.25">
      <c r="A8606" t="str">
        <f>T("   847150")</f>
        <v xml:space="preserve">   847150</v>
      </c>
      <c r="B8606" t="s">
        <v>460</v>
      </c>
      <c r="C8606">
        <v>1041195</v>
      </c>
      <c r="D8606">
        <v>24</v>
      </c>
    </row>
    <row r="8607" spans="1:4" x14ac:dyDescent="0.25">
      <c r="A8607" t="str">
        <f>T("   847160")</f>
        <v xml:space="preserve">   847160</v>
      </c>
      <c r="B8607"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607">
        <v>13598085</v>
      </c>
      <c r="D8607">
        <v>298</v>
      </c>
    </row>
    <row r="8608" spans="1:4" x14ac:dyDescent="0.25">
      <c r="A8608" t="str">
        <f>T("   847170")</f>
        <v xml:space="preserve">   847170</v>
      </c>
      <c r="B8608" t="str">
        <f>T("   UNITÉS DE MÉMOIRE POUR MACHINES AUTOMATIQUES DE TRAITEMENT DE L'INFORMATION")</f>
        <v xml:space="preserve">   UNITÉS DE MÉMOIRE POUR MACHINES AUTOMATIQUES DE TRAITEMENT DE L'INFORMATION</v>
      </c>
      <c r="C8608">
        <v>162521</v>
      </c>
      <c r="D8608">
        <v>0.5</v>
      </c>
    </row>
    <row r="8609" spans="1:4" x14ac:dyDescent="0.25">
      <c r="A8609" t="str">
        <f>T("   847180")</f>
        <v xml:space="preserve">   847180</v>
      </c>
      <c r="B860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609">
        <v>67827071</v>
      </c>
      <c r="D8609">
        <v>2756.57</v>
      </c>
    </row>
    <row r="8610" spans="1:4" x14ac:dyDescent="0.25">
      <c r="A8610" t="str">
        <f>T("   847190")</f>
        <v xml:space="preserve">   847190</v>
      </c>
      <c r="B861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610">
        <v>28928399</v>
      </c>
      <c r="D8610">
        <v>139.80000000000001</v>
      </c>
    </row>
    <row r="8611" spans="1:4" x14ac:dyDescent="0.25">
      <c r="A8611" t="str">
        <f>T("   847290")</f>
        <v xml:space="preserve">   847290</v>
      </c>
      <c r="B8611" t="str">
        <f>T("   Machines et appareils de bureau, n.d.a.")</f>
        <v xml:space="preserve">   Machines et appareils de bureau, n.d.a.</v>
      </c>
      <c r="C8611">
        <v>67663</v>
      </c>
      <c r="D8611">
        <v>372</v>
      </c>
    </row>
    <row r="8612" spans="1:4" x14ac:dyDescent="0.25">
      <c r="A8612" t="str">
        <f>T("   847330")</f>
        <v xml:space="preserve">   847330</v>
      </c>
      <c r="B8612" t="str">
        <f>T("   Parties et accessoires pour machines automatiques de traitement de l'information ou pour autres machines du n° 8471, n.d.a.")</f>
        <v xml:space="preserve">   Parties et accessoires pour machines automatiques de traitement de l'information ou pour autres machines du n° 8471, n.d.a.</v>
      </c>
      <c r="C8612">
        <v>85541973</v>
      </c>
      <c r="D8612">
        <v>363.5</v>
      </c>
    </row>
    <row r="8613" spans="1:4" x14ac:dyDescent="0.25">
      <c r="A8613" t="str">
        <f>T("   847350")</f>
        <v xml:space="preserve">   847350</v>
      </c>
      <c r="B8613"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8613">
        <v>370617</v>
      </c>
      <c r="D8613">
        <v>350</v>
      </c>
    </row>
    <row r="8614" spans="1:4" x14ac:dyDescent="0.25">
      <c r="A8614" t="str">
        <f>T("   847990")</f>
        <v xml:space="preserve">   847990</v>
      </c>
      <c r="B8614" t="str">
        <f>T("   Parties de machines et appareils, y.c. les appareils mécaniques, n.d.a.")</f>
        <v xml:space="preserve">   Parties de machines et appareils, y.c. les appareils mécaniques, n.d.a.</v>
      </c>
      <c r="C8614">
        <v>76852437</v>
      </c>
      <c r="D8614">
        <v>14275</v>
      </c>
    </row>
    <row r="8615" spans="1:4" x14ac:dyDescent="0.25">
      <c r="A8615" t="str">
        <f>T("   848120")</f>
        <v xml:space="preserve">   848120</v>
      </c>
      <c r="B8615" t="str">
        <f>T("   Valves pour transmissions oléohydrauliques ou pneumatiques")</f>
        <v xml:space="preserve">   Valves pour transmissions oléohydrauliques ou pneumatiques</v>
      </c>
      <c r="C8615">
        <v>1725175</v>
      </c>
      <c r="D8615">
        <v>30</v>
      </c>
    </row>
    <row r="8616" spans="1:4" x14ac:dyDescent="0.25">
      <c r="A8616" t="str">
        <f>T("   848180")</f>
        <v xml:space="preserve">   848180</v>
      </c>
      <c r="B86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616">
        <v>10669462</v>
      </c>
      <c r="D8616">
        <v>462</v>
      </c>
    </row>
    <row r="8617" spans="1:4" x14ac:dyDescent="0.25">
      <c r="A8617" t="str">
        <f>T("   848280")</f>
        <v xml:space="preserve">   848280</v>
      </c>
      <c r="B8617" t="s">
        <v>467</v>
      </c>
      <c r="C8617">
        <v>231554</v>
      </c>
      <c r="D8617">
        <v>1</v>
      </c>
    </row>
    <row r="8618" spans="1:4" x14ac:dyDescent="0.25">
      <c r="A8618" t="str">
        <f>T("   848360")</f>
        <v xml:space="preserve">   848360</v>
      </c>
      <c r="B8618" t="str">
        <f>T("   Embrayages et organes d'accouplement, y.c. les joints d'articulation, pour machines")</f>
        <v xml:space="preserve">   Embrayages et organes d'accouplement, y.c. les joints d'articulation, pour machines</v>
      </c>
      <c r="C8618">
        <v>16093877</v>
      </c>
      <c r="D8618">
        <v>201</v>
      </c>
    </row>
    <row r="8619" spans="1:4" x14ac:dyDescent="0.25">
      <c r="A8619" t="str">
        <f>T("   848390")</f>
        <v xml:space="preserve">   848390</v>
      </c>
      <c r="B8619"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8619">
        <v>4532238</v>
      </c>
      <c r="D8619">
        <v>159.19999999999999</v>
      </c>
    </row>
    <row r="8620" spans="1:4" x14ac:dyDescent="0.25">
      <c r="A8620" t="str">
        <f>T("   848490")</f>
        <v xml:space="preserve">   848490</v>
      </c>
      <c r="B8620" t="str">
        <f>T("   Jeux ou assortiments de joints de composition différente présentés en pochettes, enveloppes ou emballages analogues")</f>
        <v xml:space="preserve">   Jeux ou assortiments de joints de composition différente présentés en pochettes, enveloppes ou emballages analogues</v>
      </c>
      <c r="C8620">
        <v>12720264</v>
      </c>
      <c r="D8620">
        <v>529.25</v>
      </c>
    </row>
    <row r="8621" spans="1:4" x14ac:dyDescent="0.25">
      <c r="A8621" t="str">
        <f>T("   848790")</f>
        <v xml:space="preserve">   848790</v>
      </c>
      <c r="B8621" t="str">
        <f>T("   PARTIES DE MACHINES ET APPAREILS DU CHAPITRE 84, SANS CARACTÉRISTIQUES SPÉCIALES D'UTILISATION, N.D.A.")</f>
        <v xml:space="preserve">   PARTIES DE MACHINES ET APPAREILS DU CHAPITRE 84, SANS CARACTÉRISTIQUES SPÉCIALES D'UTILISATION, N.D.A.</v>
      </c>
      <c r="C8621">
        <v>5623853</v>
      </c>
      <c r="D8621">
        <v>288</v>
      </c>
    </row>
    <row r="8622" spans="1:4" x14ac:dyDescent="0.25">
      <c r="A8622" t="str">
        <f>T("   850110")</f>
        <v xml:space="preserve">   850110</v>
      </c>
      <c r="B8622" t="str">
        <f>T("   Moteurs d'une puissance &lt;= 37,5 W")</f>
        <v xml:space="preserve">   Moteurs d'une puissance &lt;= 37,5 W</v>
      </c>
      <c r="C8622">
        <v>517552</v>
      </c>
      <c r="D8622">
        <v>70</v>
      </c>
    </row>
    <row r="8623" spans="1:4" x14ac:dyDescent="0.25">
      <c r="A8623" t="str">
        <f>T("   850140")</f>
        <v xml:space="preserve">   850140</v>
      </c>
      <c r="B8623" t="str">
        <f>T("   Moteurs à courant alternatif, monophasés")</f>
        <v xml:space="preserve">   Moteurs à courant alternatif, monophasés</v>
      </c>
      <c r="C8623">
        <v>18644350</v>
      </c>
      <c r="D8623">
        <v>948</v>
      </c>
    </row>
    <row r="8624" spans="1:4" x14ac:dyDescent="0.25">
      <c r="A8624" t="str">
        <f>T("   850239")</f>
        <v xml:space="preserve">   850239</v>
      </c>
      <c r="B8624" t="str">
        <f>T("   Groupes électrogènes (autres qu'à énergie éolienne et à moteurs à piston)")</f>
        <v xml:space="preserve">   Groupes électrogènes (autres qu'à énergie éolienne et à moteurs à piston)</v>
      </c>
      <c r="C8624">
        <v>125135521</v>
      </c>
      <c r="D8624">
        <v>18507</v>
      </c>
    </row>
    <row r="8625" spans="1:4" x14ac:dyDescent="0.25">
      <c r="A8625" t="str">
        <f>T("   850240")</f>
        <v xml:space="preserve">   850240</v>
      </c>
      <c r="B8625" t="str">
        <f>T("   Convertisseurs rotatifs électriques")</f>
        <v xml:space="preserve">   Convertisseurs rotatifs électriques</v>
      </c>
      <c r="C8625">
        <v>3828104</v>
      </c>
      <c r="D8625">
        <v>924</v>
      </c>
    </row>
    <row r="8626" spans="1:4" x14ac:dyDescent="0.25">
      <c r="A8626" t="str">
        <f>T("   850440")</f>
        <v xml:space="preserve">   850440</v>
      </c>
      <c r="B8626" t="str">
        <f>T("   CONVERTISSEURS STATIQUES")</f>
        <v xml:space="preserve">   CONVERTISSEURS STATIQUES</v>
      </c>
      <c r="C8626">
        <v>4664200</v>
      </c>
      <c r="D8626">
        <v>502</v>
      </c>
    </row>
    <row r="8627" spans="1:4" x14ac:dyDescent="0.25">
      <c r="A8627" t="str">
        <f>T("   850490")</f>
        <v xml:space="preserve">   850490</v>
      </c>
      <c r="B8627" t="str">
        <f>T("   Parties de transformateurs, de bobines de réactance et selfs n.d.a.")</f>
        <v xml:space="preserve">   Parties de transformateurs, de bobines de réactance et selfs n.d.a.</v>
      </c>
      <c r="C8627">
        <v>16111796</v>
      </c>
      <c r="D8627">
        <v>77.400000000000006</v>
      </c>
    </row>
    <row r="8628" spans="1:4" x14ac:dyDescent="0.25">
      <c r="A8628" t="str">
        <f>T("   850680")</f>
        <v xml:space="preserve">   850680</v>
      </c>
      <c r="B862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8628">
        <v>514941</v>
      </c>
      <c r="D8628">
        <v>10</v>
      </c>
    </row>
    <row r="8629" spans="1:4" x14ac:dyDescent="0.25">
      <c r="A8629" t="str">
        <f>T("   850720")</f>
        <v xml:space="preserve">   850720</v>
      </c>
      <c r="B8629" t="str">
        <f>T("   Accumulateurs au plomb (sauf hors d'usage et autres que pour le démarrage des moteurs à piston)")</f>
        <v xml:space="preserve">   Accumulateurs au plomb (sauf hors d'usage et autres que pour le démarrage des moteurs à piston)</v>
      </c>
      <c r="C8629">
        <v>1092967</v>
      </c>
      <c r="D8629">
        <v>166</v>
      </c>
    </row>
    <row r="8630" spans="1:4" x14ac:dyDescent="0.25">
      <c r="A8630" t="str">
        <f>T("   850780")</f>
        <v xml:space="preserve">   850780</v>
      </c>
      <c r="B8630" t="str">
        <f>T("   Accumulateurs électriques (sauf hors d'usage et autres qu'au plomb, au nickel-cadmium ou au nickel-fer)")</f>
        <v xml:space="preserve">   Accumulateurs électriques (sauf hors d'usage et autres qu'au plomb, au nickel-cadmium ou au nickel-fer)</v>
      </c>
      <c r="C8630">
        <v>12680966</v>
      </c>
      <c r="D8630">
        <v>2170.25</v>
      </c>
    </row>
    <row r="8631" spans="1:4" x14ac:dyDescent="0.25">
      <c r="A8631" t="str">
        <f>T("   850819")</f>
        <v xml:space="preserve">   850819</v>
      </c>
      <c r="B8631" t="str">
        <f>T("   ASPIRATEURS, Y.C. LES ASPIRATEURS DE MATIÈRES SÈCHES ET DE MATIÈRES LIQUIDES, À MOTEUR ÉLECTRIQUE INCORPORÉ (À L'EXCL. DES ASPIRATEURS D'UNE PUISSANCE &lt;= 1 500 W ET DONT LE VOLUME DU RÉSERVOIR &lt;= 20 L)")</f>
        <v xml:space="preserve">   ASPIRATEURS, Y.C. LES ASPIRATEURS DE MATIÈRES SÈCHES ET DE MATIÈRES LIQUIDES, À MOTEUR ÉLECTRIQUE INCORPORÉ (À L'EXCL. DES ASPIRATEURS D'UNE PUISSANCE &lt;= 1 500 W ET DONT LE VOLUME DU RÉSERVOIR &lt;= 20 L)</v>
      </c>
      <c r="C8631">
        <v>4089800</v>
      </c>
      <c r="D8631">
        <v>560</v>
      </c>
    </row>
    <row r="8632" spans="1:4" x14ac:dyDescent="0.25">
      <c r="A8632" t="str">
        <f>T("   851290")</f>
        <v xml:space="preserve">   851290</v>
      </c>
      <c r="B8632"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8632">
        <v>1438769</v>
      </c>
      <c r="D8632">
        <v>51.92</v>
      </c>
    </row>
    <row r="8633" spans="1:4" x14ac:dyDescent="0.25">
      <c r="A8633" t="str">
        <f>T("   851590")</f>
        <v xml:space="preserve">   851590</v>
      </c>
      <c r="B8633"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8633">
        <v>140375</v>
      </c>
      <c r="D8633">
        <v>350</v>
      </c>
    </row>
    <row r="8634" spans="1:4" x14ac:dyDescent="0.25">
      <c r="A8634" t="str">
        <f>T("   851690")</f>
        <v xml:space="preserve">   851690</v>
      </c>
      <c r="B8634"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8634">
        <v>10026932</v>
      </c>
      <c r="D8634">
        <v>236.2</v>
      </c>
    </row>
    <row r="8635" spans="1:4" x14ac:dyDescent="0.25">
      <c r="A8635" t="str">
        <f>T("   851712")</f>
        <v xml:space="preserve">   851712</v>
      </c>
      <c r="B8635" t="str">
        <f>T("   TÉLÉPHONES POUR RÉSEAUX CELLULAIRES [TÉLÉPHONES MOBILES] ET POUR AUTRES RÉSEAUX SANS FIL")</f>
        <v xml:space="preserve">   TÉLÉPHONES POUR RÉSEAUX CELLULAIRES [TÉLÉPHONES MOBILES] ET POUR AUTRES RÉSEAUX SANS FIL</v>
      </c>
      <c r="C8635">
        <v>987121</v>
      </c>
      <c r="D8635">
        <v>29</v>
      </c>
    </row>
    <row r="8636" spans="1:4" x14ac:dyDescent="0.25">
      <c r="A8636" t="str">
        <f>T("   851718")</f>
        <v xml:space="preserve">   851718</v>
      </c>
      <c r="B8636"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8636">
        <v>5104771</v>
      </c>
      <c r="D8636">
        <v>167.9</v>
      </c>
    </row>
    <row r="8637" spans="1:4" x14ac:dyDescent="0.25">
      <c r="A8637" t="str">
        <f>T("   851762")</f>
        <v xml:space="preserve">   851762</v>
      </c>
      <c r="B8637" t="s">
        <v>480</v>
      </c>
      <c r="C8637">
        <v>14404432</v>
      </c>
      <c r="D8637">
        <v>478</v>
      </c>
    </row>
    <row r="8638" spans="1:4" x14ac:dyDescent="0.25">
      <c r="A8638" t="str">
        <f>T("   851769")</f>
        <v xml:space="preserve">   851769</v>
      </c>
      <c r="B8638" t="s">
        <v>481</v>
      </c>
      <c r="C8638">
        <v>116849636</v>
      </c>
      <c r="D8638">
        <v>3948.4</v>
      </c>
    </row>
    <row r="8639" spans="1:4" x14ac:dyDescent="0.25">
      <c r="A8639" t="str">
        <f>T("   851770")</f>
        <v xml:space="preserve">   851770</v>
      </c>
      <c r="B8639"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8639">
        <v>678456557</v>
      </c>
      <c r="D8639">
        <v>16916.439999999999</v>
      </c>
    </row>
    <row r="8640" spans="1:4" x14ac:dyDescent="0.25">
      <c r="A8640" t="str">
        <f>T("   851780")</f>
        <v xml:space="preserve">   851780</v>
      </c>
      <c r="B8640" t="s">
        <v>482</v>
      </c>
      <c r="C8640">
        <v>94925840</v>
      </c>
      <c r="D8640">
        <v>1399</v>
      </c>
    </row>
    <row r="8641" spans="1:4" x14ac:dyDescent="0.25">
      <c r="A8641" t="str">
        <f>T("   851790")</f>
        <v xml:space="preserve">   851790</v>
      </c>
      <c r="B8641" t="s">
        <v>483</v>
      </c>
      <c r="C8641">
        <v>61530317</v>
      </c>
      <c r="D8641">
        <v>12168</v>
      </c>
    </row>
    <row r="8642" spans="1:4" x14ac:dyDescent="0.25">
      <c r="A8642" t="str">
        <f>T("   851829")</f>
        <v xml:space="preserve">   851829</v>
      </c>
      <c r="B8642" t="str">
        <f>T("   Haut-parleurs sans enceinte")</f>
        <v xml:space="preserve">   Haut-parleurs sans enceinte</v>
      </c>
      <c r="C8642">
        <v>437000</v>
      </c>
      <c r="D8642">
        <v>1008</v>
      </c>
    </row>
    <row r="8643" spans="1:4" x14ac:dyDescent="0.25">
      <c r="A8643" t="str">
        <f>T("   852321")</f>
        <v xml:space="preserve">   852321</v>
      </c>
      <c r="B8643" t="str">
        <f>T("   CARTES MUNIES D'UNE PISTE MAGNÉTIQUE POUR L'ENREGISTREMENT DU SON OU POUR ENREGISTREMENTS ANALOGUES")</f>
        <v xml:space="preserve">   CARTES MUNIES D'UNE PISTE MAGNÉTIQUE POUR L'ENREGISTREMENT DU SON OU POUR ENREGISTREMENTS ANALOGUES</v>
      </c>
      <c r="C8643">
        <v>31472448</v>
      </c>
      <c r="D8643">
        <v>525</v>
      </c>
    </row>
    <row r="8644" spans="1:4" x14ac:dyDescent="0.25">
      <c r="A8644" t="str">
        <f>T("   852329")</f>
        <v xml:space="preserve">   852329</v>
      </c>
      <c r="B8644"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8644">
        <v>120676</v>
      </c>
      <c r="D8644">
        <v>5</v>
      </c>
    </row>
    <row r="8645" spans="1:4" x14ac:dyDescent="0.25">
      <c r="A8645" t="str">
        <f>T("   852550")</f>
        <v xml:space="preserve">   852550</v>
      </c>
      <c r="B8645" t="str">
        <f>T("   APPAREILS D'ÉMISSION POUR LA RADIODIFFUSION OU LA TÉLÉVISION, SANS APPAREIL DE RÉCEPTION")</f>
        <v xml:space="preserve">   APPAREILS D'ÉMISSION POUR LA RADIODIFFUSION OU LA TÉLÉVISION, SANS APPAREIL DE RÉCEPTION</v>
      </c>
      <c r="C8645">
        <v>477173</v>
      </c>
      <c r="D8645">
        <v>7</v>
      </c>
    </row>
    <row r="8646" spans="1:4" x14ac:dyDescent="0.25">
      <c r="A8646" t="str">
        <f>T("   852691")</f>
        <v xml:space="preserve">   852691</v>
      </c>
      <c r="B8646" t="str">
        <f>T("   Appareils de radionavigation")</f>
        <v xml:space="preserve">   Appareils de radionavigation</v>
      </c>
      <c r="C8646">
        <v>1315360</v>
      </c>
      <c r="D8646">
        <v>2</v>
      </c>
    </row>
    <row r="8647" spans="1:4" x14ac:dyDescent="0.25">
      <c r="A8647" t="str">
        <f>T("   852812")</f>
        <v xml:space="preserve">   852812</v>
      </c>
      <c r="B864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647">
        <v>50000</v>
      </c>
      <c r="D8647">
        <v>50</v>
      </c>
    </row>
    <row r="8648" spans="1:4" x14ac:dyDescent="0.25">
      <c r="A8648" t="str">
        <f>T("   852821")</f>
        <v xml:space="preserve">   852821</v>
      </c>
      <c r="B8648" t="str">
        <f>T("   Moniteurs vidéo en couleurs")</f>
        <v xml:space="preserve">   Moniteurs vidéo en couleurs</v>
      </c>
      <c r="C8648">
        <v>1338158</v>
      </c>
      <c r="D8648">
        <v>30</v>
      </c>
    </row>
    <row r="8649" spans="1:4" x14ac:dyDescent="0.25">
      <c r="A8649" t="str">
        <f>T("   852849")</f>
        <v xml:space="preserve">   852849</v>
      </c>
      <c r="B8649"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8649">
        <v>462452</v>
      </c>
      <c r="D8649">
        <v>1813</v>
      </c>
    </row>
    <row r="8650" spans="1:4" x14ac:dyDescent="0.25">
      <c r="A8650" t="str">
        <f>T("   852869")</f>
        <v xml:space="preserve">   852869</v>
      </c>
      <c r="B8650"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8650">
        <v>3281768</v>
      </c>
      <c r="D8650">
        <v>15</v>
      </c>
    </row>
    <row r="8651" spans="1:4" x14ac:dyDescent="0.25">
      <c r="A8651" t="str">
        <f>T("   852910")</f>
        <v xml:space="preserve">   852910</v>
      </c>
      <c r="B865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651">
        <v>25395890</v>
      </c>
      <c r="D8651">
        <v>1990</v>
      </c>
    </row>
    <row r="8652" spans="1:4" x14ac:dyDescent="0.25">
      <c r="A8652" t="str">
        <f>T("   853641")</f>
        <v xml:space="preserve">   853641</v>
      </c>
      <c r="B8652" t="str">
        <f>T("   Relais pour une tension &lt;= 60 V")</f>
        <v xml:space="preserve">   Relais pour une tension &lt;= 60 V</v>
      </c>
      <c r="C8652">
        <v>524820</v>
      </c>
      <c r="D8652">
        <v>4.3499999999999996</v>
      </c>
    </row>
    <row r="8653" spans="1:4" x14ac:dyDescent="0.25">
      <c r="A8653" t="str">
        <f>T("   853649")</f>
        <v xml:space="preserve">   853649</v>
      </c>
      <c r="B8653" t="str">
        <f>T("   Relais, pour une tension &gt; 60 V mais &lt;= 1.000 V")</f>
        <v xml:space="preserve">   Relais, pour une tension &gt; 60 V mais &lt;= 1.000 V</v>
      </c>
      <c r="C8653">
        <v>505227</v>
      </c>
      <c r="D8653">
        <v>2.5</v>
      </c>
    </row>
    <row r="8654" spans="1:4" x14ac:dyDescent="0.25">
      <c r="A8654" t="str">
        <f>T("   853650")</f>
        <v xml:space="preserve">   853650</v>
      </c>
      <c r="B8654" t="str">
        <f>T("   Interrupteurs, sectionneurs et commutateurs, pour une tension &lt;= 1.000 V (autres que relais et disjoncteurs)")</f>
        <v xml:space="preserve">   Interrupteurs, sectionneurs et commutateurs, pour une tension &lt;= 1.000 V (autres que relais et disjoncteurs)</v>
      </c>
      <c r="C8654">
        <v>2055729</v>
      </c>
      <c r="D8654">
        <v>15.5</v>
      </c>
    </row>
    <row r="8655" spans="1:4" x14ac:dyDescent="0.25">
      <c r="A8655" t="str">
        <f>T("   853669")</f>
        <v xml:space="preserve">   853669</v>
      </c>
      <c r="B8655" t="str">
        <f>T("   Fiches et prises de courant, pour une tension &lt;= 1.000 V (sauf douilles pour lampes)")</f>
        <v xml:space="preserve">   Fiches et prises de courant, pour une tension &lt;= 1.000 V (sauf douilles pour lampes)</v>
      </c>
      <c r="C8655">
        <v>2138773</v>
      </c>
      <c r="D8655">
        <v>36</v>
      </c>
    </row>
    <row r="8656" spans="1:4" x14ac:dyDescent="0.25">
      <c r="A8656" t="str">
        <f>T("   853690")</f>
        <v xml:space="preserve">   853690</v>
      </c>
      <c r="B8656" t="s">
        <v>499</v>
      </c>
      <c r="C8656">
        <v>863510</v>
      </c>
      <c r="D8656">
        <v>12</v>
      </c>
    </row>
    <row r="8657" spans="1:4" x14ac:dyDescent="0.25">
      <c r="A8657" t="str">
        <f>T("   853910")</f>
        <v xml:space="preserve">   853910</v>
      </c>
      <c r="B8657" t="str">
        <f>T("   Phares et projecteurs scellés")</f>
        <v xml:space="preserve">   Phares et projecteurs scellés</v>
      </c>
      <c r="C8657">
        <v>730759</v>
      </c>
      <c r="D8657">
        <v>12.5</v>
      </c>
    </row>
    <row r="8658" spans="1:4" x14ac:dyDescent="0.25">
      <c r="A8658" t="str">
        <f>T("   853929")</f>
        <v xml:space="preserve">   853929</v>
      </c>
      <c r="B8658"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658">
        <v>345974</v>
      </c>
      <c r="D8658">
        <v>1.8</v>
      </c>
    </row>
    <row r="8659" spans="1:4" x14ac:dyDescent="0.25">
      <c r="A8659" t="str">
        <f>T("   853939")</f>
        <v xml:space="preserve">   853939</v>
      </c>
      <c r="B865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8659">
        <v>1417</v>
      </c>
      <c r="D8659">
        <v>0.25</v>
      </c>
    </row>
    <row r="8660" spans="1:4" x14ac:dyDescent="0.25">
      <c r="A8660" t="str">
        <f>T("   854239")</f>
        <v xml:space="preserve">   854239</v>
      </c>
      <c r="B8660" t="str">
        <f>T("   CIRCUITS INTÉGRÉS ÉLECTRONIQUES (À L'EXCL. DE CEUX UTILISÉS COMME PROCESSEURS, CONTRÔLEURS, MÉMOIRES ET AMPLIFICATEURS)")</f>
        <v xml:space="preserve">   CIRCUITS INTÉGRÉS ÉLECTRONIQUES (À L'EXCL. DE CEUX UTILISÉS COMME PROCESSEURS, CONTRÔLEURS, MÉMOIRES ET AMPLIFICATEURS)</v>
      </c>
      <c r="C8660">
        <v>1320417</v>
      </c>
      <c r="D8660">
        <v>4</v>
      </c>
    </row>
    <row r="8661" spans="1:4" x14ac:dyDescent="0.25">
      <c r="A8661" t="str">
        <f>T("   854420")</f>
        <v xml:space="preserve">   854420</v>
      </c>
      <c r="B8661" t="str">
        <f>T("   Câbles coaxiaux et autres conducteurs électriques coaxiaux, isolés")</f>
        <v xml:space="preserve">   Câbles coaxiaux et autres conducteurs électriques coaxiaux, isolés</v>
      </c>
      <c r="C8661">
        <v>24764112</v>
      </c>
      <c r="D8661">
        <v>3129</v>
      </c>
    </row>
    <row r="8662" spans="1:4" x14ac:dyDescent="0.25">
      <c r="A8662" t="str">
        <f>T("   854451")</f>
        <v xml:space="preserve">   854451</v>
      </c>
      <c r="B8662" t="str">
        <f>T("   Conducteurs électriques, pour tension &gt; 80 V mais &lt;= 1.000 V, avec pièces de connexion, n.d.a.")</f>
        <v xml:space="preserve">   Conducteurs électriques, pour tension &gt; 80 V mais &lt;= 1.000 V, avec pièces de connexion, n.d.a.</v>
      </c>
      <c r="C8662">
        <v>406426</v>
      </c>
      <c r="D8662">
        <v>223</v>
      </c>
    </row>
    <row r="8663" spans="1:4" x14ac:dyDescent="0.25">
      <c r="A8663" t="str">
        <f>T("   854459")</f>
        <v xml:space="preserve">   854459</v>
      </c>
      <c r="B8663" t="str">
        <f>T("   Conducteurs électriques, pour tension &gt; 80 V mais &lt;= 1.000 V, sans pièces de connexion, n.d.a.")</f>
        <v xml:space="preserve">   Conducteurs électriques, pour tension &gt; 80 V mais &lt;= 1.000 V, sans pièces de connexion, n.d.a.</v>
      </c>
      <c r="C8663">
        <v>6345798</v>
      </c>
      <c r="D8663">
        <v>93</v>
      </c>
    </row>
    <row r="8664" spans="1:4" x14ac:dyDescent="0.25">
      <c r="A8664" t="str">
        <f>T("   854460")</f>
        <v xml:space="preserve">   854460</v>
      </c>
      <c r="B8664" t="str">
        <f>T("   Conducteurs électriques, pour tension &gt; 1.000 V, n.d.a.")</f>
        <v xml:space="preserve">   Conducteurs électriques, pour tension &gt; 1.000 V, n.d.a.</v>
      </c>
      <c r="C8664">
        <v>1100701</v>
      </c>
      <c r="D8664">
        <v>1120</v>
      </c>
    </row>
    <row r="8665" spans="1:4" x14ac:dyDescent="0.25">
      <c r="A8665" t="str">
        <f>T("   860721")</f>
        <v xml:space="preserve">   860721</v>
      </c>
      <c r="B8665" t="str">
        <f>T("   Freins à air comprimé, de véhicules pour voies ferrées ou simil., leurs parties, n.d.a.")</f>
        <v xml:space="preserve">   Freins à air comprimé, de véhicules pour voies ferrées ou simil., leurs parties, n.d.a.</v>
      </c>
      <c r="C8665">
        <v>931476</v>
      </c>
      <c r="D8665">
        <v>42</v>
      </c>
    </row>
    <row r="8666" spans="1:4" x14ac:dyDescent="0.25">
      <c r="A8666" t="str">
        <f>T("   860900")</f>
        <v xml:space="preserve">   860900</v>
      </c>
      <c r="B8666"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8666">
        <v>38028625</v>
      </c>
      <c r="D8666">
        <v>5875</v>
      </c>
    </row>
    <row r="8667" spans="1:4" x14ac:dyDescent="0.25">
      <c r="A8667" t="str">
        <f>T("   870120")</f>
        <v xml:space="preserve">   870120</v>
      </c>
      <c r="B8667" t="str">
        <f>T("   Tracteurs routiers pour semi-remorques")</f>
        <v xml:space="preserve">   Tracteurs routiers pour semi-remorques</v>
      </c>
      <c r="C8667">
        <v>398367677</v>
      </c>
      <c r="D8667">
        <v>939111</v>
      </c>
    </row>
    <row r="8668" spans="1:4" x14ac:dyDescent="0.25">
      <c r="A8668" t="str">
        <f>T("   870190")</f>
        <v xml:space="preserve">   870190</v>
      </c>
      <c r="B8668"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8668">
        <v>6336680</v>
      </c>
      <c r="D8668">
        <v>15000</v>
      </c>
    </row>
    <row r="8669" spans="1:4" x14ac:dyDescent="0.25">
      <c r="A8669" t="str">
        <f>T("   870210")</f>
        <v xml:space="preserve">   870210</v>
      </c>
      <c r="B8669" t="s">
        <v>503</v>
      </c>
      <c r="C8669">
        <v>43937118</v>
      </c>
      <c r="D8669">
        <v>118995</v>
      </c>
    </row>
    <row r="8670" spans="1:4" x14ac:dyDescent="0.25">
      <c r="A8670" t="str">
        <f>T("   870290")</f>
        <v xml:space="preserve">   870290</v>
      </c>
      <c r="B8670" t="s">
        <v>504</v>
      </c>
      <c r="C8670">
        <v>41360905</v>
      </c>
      <c r="D8670">
        <v>60667</v>
      </c>
    </row>
    <row r="8671" spans="1:4" x14ac:dyDescent="0.25">
      <c r="A8671" t="str">
        <f>T("   870321")</f>
        <v xml:space="preserve">   870321</v>
      </c>
      <c r="B8671" t="s">
        <v>505</v>
      </c>
      <c r="C8671">
        <v>1200000</v>
      </c>
      <c r="D8671">
        <v>750</v>
      </c>
    </row>
    <row r="8672" spans="1:4" x14ac:dyDescent="0.25">
      <c r="A8672" t="str">
        <f>T("   870322")</f>
        <v xml:space="preserve">   870322</v>
      </c>
      <c r="B8672" t="s">
        <v>506</v>
      </c>
      <c r="C8672">
        <v>919065052</v>
      </c>
      <c r="D8672">
        <v>712926</v>
      </c>
    </row>
    <row r="8673" spans="1:4" x14ac:dyDescent="0.25">
      <c r="A8673" t="str">
        <f>T("   870323")</f>
        <v xml:space="preserve">   870323</v>
      </c>
      <c r="B8673" t="s">
        <v>507</v>
      </c>
      <c r="C8673">
        <v>1916898397</v>
      </c>
      <c r="D8673">
        <v>1271394</v>
      </c>
    </row>
    <row r="8674" spans="1:4" x14ac:dyDescent="0.25">
      <c r="A8674" t="str">
        <f>T("   870324")</f>
        <v xml:space="preserve">   870324</v>
      </c>
      <c r="B8674" t="s">
        <v>508</v>
      </c>
      <c r="C8674">
        <v>194159911</v>
      </c>
      <c r="D8674">
        <v>38072</v>
      </c>
    </row>
    <row r="8675" spans="1:4" x14ac:dyDescent="0.25">
      <c r="A8675" t="str">
        <f>T("   870331")</f>
        <v xml:space="preserve">   870331</v>
      </c>
      <c r="B8675" t="s">
        <v>509</v>
      </c>
      <c r="C8675">
        <v>1200000</v>
      </c>
      <c r="D8675">
        <v>750</v>
      </c>
    </row>
    <row r="8676" spans="1:4" x14ac:dyDescent="0.25">
      <c r="A8676" t="str">
        <f>T("   870332")</f>
        <v xml:space="preserve">   870332</v>
      </c>
      <c r="B8676" t="s">
        <v>510</v>
      </c>
      <c r="C8676">
        <v>31338825</v>
      </c>
      <c r="D8676">
        <v>18182</v>
      </c>
    </row>
    <row r="8677" spans="1:4" x14ac:dyDescent="0.25">
      <c r="A8677" t="str">
        <f>T("   870333")</f>
        <v xml:space="preserve">   870333</v>
      </c>
      <c r="B8677" t="s">
        <v>511</v>
      </c>
      <c r="C8677">
        <v>80336492</v>
      </c>
      <c r="D8677">
        <v>16185</v>
      </c>
    </row>
    <row r="8678" spans="1:4" x14ac:dyDescent="0.25">
      <c r="A8678" t="str">
        <f>T("   870390")</f>
        <v xml:space="preserve">   870390</v>
      </c>
      <c r="B8678"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8678">
        <v>22912027</v>
      </c>
      <c r="D8678">
        <v>2904</v>
      </c>
    </row>
    <row r="8679" spans="1:4" x14ac:dyDescent="0.25">
      <c r="A8679" t="str">
        <f>T("   870410")</f>
        <v xml:space="preserve">   870410</v>
      </c>
      <c r="B8679" t="str">
        <f>T("   Tombereaux automoteurs utilisés en dehors du réseau routier")</f>
        <v xml:space="preserve">   Tombereaux automoteurs utilisés en dehors du réseau routier</v>
      </c>
      <c r="C8679">
        <v>2211914</v>
      </c>
      <c r="D8679">
        <v>2500</v>
      </c>
    </row>
    <row r="8680" spans="1:4" x14ac:dyDescent="0.25">
      <c r="A8680" t="str">
        <f>T("   870421")</f>
        <v xml:space="preserve">   870421</v>
      </c>
      <c r="B8680" t="s">
        <v>512</v>
      </c>
      <c r="C8680">
        <v>368058674</v>
      </c>
      <c r="D8680">
        <v>249650</v>
      </c>
    </row>
    <row r="8681" spans="1:4" x14ac:dyDescent="0.25">
      <c r="A8681" t="str">
        <f>T("   870422")</f>
        <v xml:space="preserve">   870422</v>
      </c>
      <c r="B8681" t="s">
        <v>513</v>
      </c>
      <c r="C8681">
        <v>64909764</v>
      </c>
      <c r="D8681">
        <v>172055</v>
      </c>
    </row>
    <row r="8682" spans="1:4" x14ac:dyDescent="0.25">
      <c r="A8682" t="str">
        <f>T("   870423")</f>
        <v xml:space="preserve">   870423</v>
      </c>
      <c r="B8682" t="s">
        <v>514</v>
      </c>
      <c r="C8682">
        <v>62383592</v>
      </c>
      <c r="D8682">
        <v>225770</v>
      </c>
    </row>
    <row r="8683" spans="1:4" x14ac:dyDescent="0.25">
      <c r="A8683" t="str">
        <f>T("   870431")</f>
        <v xml:space="preserve">   870431</v>
      </c>
      <c r="B8683" t="s">
        <v>515</v>
      </c>
      <c r="C8683">
        <v>206650220</v>
      </c>
      <c r="D8683">
        <v>203535</v>
      </c>
    </row>
    <row r="8684" spans="1:4" x14ac:dyDescent="0.25">
      <c r="A8684" t="str">
        <f>T("   870432")</f>
        <v xml:space="preserve">   870432</v>
      </c>
      <c r="B8684" t="s">
        <v>516</v>
      </c>
      <c r="C8684">
        <v>7697295</v>
      </c>
      <c r="D8684">
        <v>14733</v>
      </c>
    </row>
    <row r="8685" spans="1:4" x14ac:dyDescent="0.25">
      <c r="A8685" t="str">
        <f>T("   870490")</f>
        <v xml:space="preserve">   870490</v>
      </c>
      <c r="B8685"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8685">
        <v>1200000</v>
      </c>
      <c r="D8685">
        <v>950</v>
      </c>
    </row>
    <row r="8686" spans="1:4" x14ac:dyDescent="0.25">
      <c r="A8686" t="str">
        <f>T("   870510")</f>
        <v xml:space="preserve">   870510</v>
      </c>
      <c r="B8686" t="str">
        <f>T("   Camions-grues (sauf dépanneuses)")</f>
        <v xml:space="preserve">   Camions-grues (sauf dépanneuses)</v>
      </c>
      <c r="C8686">
        <v>2211914</v>
      </c>
      <c r="D8686">
        <v>5520</v>
      </c>
    </row>
    <row r="8687" spans="1:4" x14ac:dyDescent="0.25">
      <c r="A8687" t="str">
        <f>T("   870829")</f>
        <v xml:space="preserve">   870829</v>
      </c>
      <c r="B8687" t="s">
        <v>519</v>
      </c>
      <c r="C8687">
        <v>26324</v>
      </c>
      <c r="D8687">
        <v>0.1</v>
      </c>
    </row>
    <row r="8688" spans="1:4" x14ac:dyDescent="0.25">
      <c r="A8688" t="str">
        <f>T("   870830")</f>
        <v xml:space="preserve">   870830</v>
      </c>
      <c r="B8688" t="str">
        <f>T("   FREINS ET SERVO-FREINS ET LEURS PARTIES, POUR TRACTEURS, VÉHICULES POUR LE TRANSPORT DE &gt;= 10 PERSONNES, CHAUFFEUR INCLUS, VOITURES DE TOURISME, VÉHICULES POUR LE TRANSPORT DE MARCHANDISES ET VÉHICULES À USAGES SPÉCIAUX, N.D.A.")</f>
        <v xml:space="preserve">   FREINS ET SERVO-FREINS ET LEURS PARTIES, POUR TRACTEURS, VÉHICULES POUR LE TRANSPORT DE &gt;= 10 PERSONNES, CHAUFFEUR INCLUS, VOITURES DE TOURISME, VÉHICULES POUR LE TRANSPORT DE MARCHANDISES ET VÉHICULES À USAGES SPÉCIAUX, N.D.A.</v>
      </c>
      <c r="C8688">
        <v>10054201</v>
      </c>
      <c r="D8688">
        <v>351</v>
      </c>
    </row>
    <row r="8689" spans="1:4" x14ac:dyDescent="0.25">
      <c r="A8689" t="str">
        <f>T("   870840")</f>
        <v xml:space="preserve">   870840</v>
      </c>
      <c r="B868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689">
        <v>21528043</v>
      </c>
      <c r="D8689">
        <v>948</v>
      </c>
    </row>
    <row r="8690" spans="1:4" x14ac:dyDescent="0.25">
      <c r="A8690" t="str">
        <f>T("   870870")</f>
        <v xml:space="preserve">   870870</v>
      </c>
      <c r="B8690"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8690">
        <v>3183521</v>
      </c>
      <c r="D8690">
        <v>485</v>
      </c>
    </row>
    <row r="8691" spans="1:4" x14ac:dyDescent="0.25">
      <c r="A8691" t="str">
        <f>T("   870891")</f>
        <v xml:space="preserve">   870891</v>
      </c>
      <c r="B8691"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8691">
        <v>1676371</v>
      </c>
      <c r="D8691">
        <v>38</v>
      </c>
    </row>
    <row r="8692" spans="1:4" x14ac:dyDescent="0.25">
      <c r="A8692" t="str">
        <f>T("   870899")</f>
        <v xml:space="preserve">   870899</v>
      </c>
      <c r="B869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692">
        <v>23158741</v>
      </c>
      <c r="D8692">
        <v>1603.33</v>
      </c>
    </row>
    <row r="8693" spans="1:4" x14ac:dyDescent="0.25">
      <c r="A8693" t="str">
        <f>T("   871120")</f>
        <v xml:space="preserve">   871120</v>
      </c>
      <c r="B8693" t="str">
        <f>T("   Motocycles à moteur à piston alternatif, cylindrée &gt; 50 cm³ mais &lt;= 250 cm³")</f>
        <v xml:space="preserve">   Motocycles à moteur à piston alternatif, cylindrée &gt; 50 cm³ mais &lt;= 250 cm³</v>
      </c>
      <c r="C8693">
        <v>285000</v>
      </c>
      <c r="D8693">
        <v>300</v>
      </c>
    </row>
    <row r="8694" spans="1:4" x14ac:dyDescent="0.25">
      <c r="A8694" t="str">
        <f>T("   871130")</f>
        <v xml:space="preserve">   871130</v>
      </c>
      <c r="B8694" t="str">
        <f>T("   Motocycles à moteur à piston alternatif, cylindrée &gt; 250 cm³ mais &lt;= 500 cm³")</f>
        <v xml:space="preserve">   Motocycles à moteur à piston alternatif, cylindrée &gt; 250 cm³ mais &lt;= 500 cm³</v>
      </c>
      <c r="C8694">
        <v>995000</v>
      </c>
      <c r="D8694">
        <v>1545</v>
      </c>
    </row>
    <row r="8695" spans="1:4" x14ac:dyDescent="0.25">
      <c r="A8695" t="str">
        <f>T("   871140")</f>
        <v xml:space="preserve">   871140</v>
      </c>
      <c r="B8695" t="str">
        <f>T("   Motocycles à moteur à piston alternatif, cylindrée &gt; 500 cm³ mais &lt;= 800 cm³")</f>
        <v xml:space="preserve">   Motocycles à moteur à piston alternatif, cylindrée &gt; 500 cm³ mais &lt;= 800 cm³</v>
      </c>
      <c r="C8695">
        <v>4791800</v>
      </c>
      <c r="D8695">
        <v>4736</v>
      </c>
    </row>
    <row r="8696" spans="1:4" x14ac:dyDescent="0.25">
      <c r="A8696" t="str">
        <f>T("   871150")</f>
        <v xml:space="preserve">   871150</v>
      </c>
      <c r="B8696" t="str">
        <f>T("   Motocycles à moteur à piston alternatif, cylindrée &gt; 800 cm³")</f>
        <v xml:space="preserve">   Motocycles à moteur à piston alternatif, cylindrée &gt; 800 cm³</v>
      </c>
      <c r="C8696">
        <v>500000</v>
      </c>
      <c r="D8696">
        <v>69</v>
      </c>
    </row>
    <row r="8697" spans="1:4" x14ac:dyDescent="0.25">
      <c r="A8697" t="str">
        <f>T("   871190")</f>
        <v xml:space="preserve">   871190</v>
      </c>
      <c r="B8697" t="str">
        <f>T("   Side-cars")</f>
        <v xml:space="preserve">   Side-cars</v>
      </c>
      <c r="C8697">
        <v>1200000</v>
      </c>
      <c r="D8697">
        <v>1270</v>
      </c>
    </row>
    <row r="8698" spans="1:4" x14ac:dyDescent="0.25">
      <c r="A8698" t="str">
        <f>T("   871200")</f>
        <v xml:space="preserve">   871200</v>
      </c>
      <c r="B8698" t="str">
        <f>T("   BICYCLETTES ET AUTRES CYCLES, -Y.C. LES TRIPORTEURS-, SANS MOTEUR")</f>
        <v xml:space="preserve">   BICYCLETTES ET AUTRES CYCLES, -Y.C. LES TRIPORTEURS-, SANS MOTEUR</v>
      </c>
      <c r="C8698">
        <v>100000</v>
      </c>
      <c r="D8698">
        <v>500</v>
      </c>
    </row>
    <row r="8699" spans="1:4" x14ac:dyDescent="0.25">
      <c r="A8699" t="str">
        <f>T("   871639")</f>
        <v xml:space="preserve">   871639</v>
      </c>
      <c r="B8699"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8699">
        <v>73555957</v>
      </c>
      <c r="D8699">
        <v>240112</v>
      </c>
    </row>
    <row r="8700" spans="1:4" x14ac:dyDescent="0.25">
      <c r="A8700" t="str">
        <f>T("   871640")</f>
        <v xml:space="preserve">   871640</v>
      </c>
      <c r="B870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700">
        <v>154381258</v>
      </c>
      <c r="D8700">
        <v>380066</v>
      </c>
    </row>
    <row r="8701" spans="1:4" x14ac:dyDescent="0.25">
      <c r="A8701" t="str">
        <f>T("   871690")</f>
        <v xml:space="preserve">   871690</v>
      </c>
      <c r="B8701" t="str">
        <f>T("   PARTIES DE REMORQUES, SEMI-REMORQUES ET AUTRES VÉHICULES NON-AUTOMOBILES, N.D.A.")</f>
        <v xml:space="preserve">   PARTIES DE REMORQUES, SEMI-REMORQUES ET AUTRES VÉHICULES NON-AUTOMOBILES, N.D.A.</v>
      </c>
      <c r="C8701">
        <v>538657</v>
      </c>
      <c r="D8701">
        <v>400</v>
      </c>
    </row>
    <row r="8702" spans="1:4" x14ac:dyDescent="0.25">
      <c r="A8702" t="str">
        <f>T("   880310")</f>
        <v xml:space="preserve">   880310</v>
      </c>
      <c r="B8702" t="str">
        <f>T("   Hélices et rotors, leurs parties, pour aéronefs, n.d.a.")</f>
        <v xml:space="preserve">   Hélices et rotors, leurs parties, pour aéronefs, n.d.a.</v>
      </c>
      <c r="C8702">
        <v>14115536</v>
      </c>
      <c r="D8702">
        <v>13</v>
      </c>
    </row>
    <row r="8703" spans="1:4" x14ac:dyDescent="0.25">
      <c r="A8703" t="str">
        <f>T("   880330")</f>
        <v xml:space="preserve">   880330</v>
      </c>
      <c r="B8703" t="str">
        <f>T("   Parties d'avions ou d'hélicoptères, n.d.a. (sauf planeurs)")</f>
        <v xml:space="preserve">   Parties d'avions ou d'hélicoptères, n.d.a. (sauf planeurs)</v>
      </c>
      <c r="C8703">
        <v>291971542</v>
      </c>
      <c r="D8703">
        <v>473.6</v>
      </c>
    </row>
    <row r="8704" spans="1:4" x14ac:dyDescent="0.25">
      <c r="A8704" t="str">
        <f>T("   880390")</f>
        <v xml:space="preserve">   880390</v>
      </c>
      <c r="B8704" t="str">
        <f>T("   Parties des véhicules aériens et spatiaux, n.d.a.")</f>
        <v xml:space="preserve">   Parties des véhicules aériens et spatiaux, n.d.a.</v>
      </c>
      <c r="C8704">
        <v>46211096</v>
      </c>
      <c r="D8704">
        <v>164</v>
      </c>
    </row>
    <row r="8705" spans="1:4" x14ac:dyDescent="0.25">
      <c r="A8705" t="str">
        <f>T("   900720")</f>
        <v xml:space="preserve">   900720</v>
      </c>
      <c r="B8705" t="str">
        <f>T("   Projecteurs cinématographiques")</f>
        <v xml:space="preserve">   Projecteurs cinématographiques</v>
      </c>
      <c r="C8705">
        <v>1573648</v>
      </c>
      <c r="D8705">
        <v>74</v>
      </c>
    </row>
    <row r="8706" spans="1:4" x14ac:dyDescent="0.25">
      <c r="A8706" t="str">
        <f>T("   901180")</f>
        <v xml:space="preserve">   901180</v>
      </c>
      <c r="B8706" t="s">
        <v>525</v>
      </c>
      <c r="C8706">
        <v>2735353</v>
      </c>
      <c r="D8706">
        <v>1400</v>
      </c>
    </row>
    <row r="8707" spans="1:4" x14ac:dyDescent="0.25">
      <c r="A8707" t="str">
        <f>T("   901590")</f>
        <v xml:space="preserve">   901590</v>
      </c>
      <c r="B8707"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8707">
        <v>3983809</v>
      </c>
      <c r="D8707">
        <v>107</v>
      </c>
    </row>
    <row r="8708" spans="1:4" x14ac:dyDescent="0.25">
      <c r="A8708" t="str">
        <f>T("   901831")</f>
        <v xml:space="preserve">   901831</v>
      </c>
      <c r="B8708" t="str">
        <f>T("   Seringues, avec ou sans aiguilles, pour la médecine")</f>
        <v xml:space="preserve">   Seringues, avec ou sans aiguilles, pour la médecine</v>
      </c>
      <c r="C8708">
        <v>2804390</v>
      </c>
      <c r="D8708">
        <v>272</v>
      </c>
    </row>
    <row r="8709" spans="1:4" x14ac:dyDescent="0.25">
      <c r="A8709" t="str">
        <f>T("   901890")</f>
        <v xml:space="preserve">   901890</v>
      </c>
      <c r="B8709" t="str">
        <f>T("   Instruments et appareils pour la médecine, la chirurgie ou l'art vétérinaire, n.d.a.")</f>
        <v xml:space="preserve">   Instruments et appareils pour la médecine, la chirurgie ou l'art vétérinaire, n.d.a.</v>
      </c>
      <c r="C8709">
        <v>9571769</v>
      </c>
      <c r="D8709">
        <v>1300</v>
      </c>
    </row>
    <row r="8710" spans="1:4" x14ac:dyDescent="0.25">
      <c r="A8710" t="str">
        <f>T("   902511")</f>
        <v xml:space="preserve">   902511</v>
      </c>
      <c r="B8710" t="str">
        <f>T("   THERMOMÈTRES À LIQUIDE, À LECTURE DIRECTE, NON-COMBINÉS À D'AUTRES INSTRUMENTS")</f>
        <v xml:space="preserve">   THERMOMÈTRES À LIQUIDE, À LECTURE DIRECTE, NON-COMBINÉS À D'AUTRES INSTRUMENTS</v>
      </c>
      <c r="C8710">
        <v>1500181</v>
      </c>
      <c r="D8710">
        <v>206</v>
      </c>
    </row>
    <row r="8711" spans="1:4" x14ac:dyDescent="0.25">
      <c r="A8711" t="str">
        <f>T("   902690")</f>
        <v xml:space="preserve">   902690</v>
      </c>
      <c r="B8711"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8711">
        <v>57029</v>
      </c>
      <c r="D8711">
        <v>3</v>
      </c>
    </row>
    <row r="8712" spans="1:4" x14ac:dyDescent="0.25">
      <c r="A8712" t="str">
        <f>T("   902790")</f>
        <v xml:space="preserve">   902790</v>
      </c>
      <c r="B8712" t="s">
        <v>532</v>
      </c>
      <c r="C8712">
        <v>589708</v>
      </c>
      <c r="D8712">
        <v>0.3</v>
      </c>
    </row>
    <row r="8713" spans="1:4" x14ac:dyDescent="0.25">
      <c r="A8713" t="str">
        <f>T("   903110")</f>
        <v xml:space="preserve">   903110</v>
      </c>
      <c r="B8713" t="str">
        <f>T("   Machines à équilibrer les pièces mécaniques")</f>
        <v xml:space="preserve">   Machines à équilibrer les pièces mécaniques</v>
      </c>
      <c r="C8713">
        <v>9534379</v>
      </c>
      <c r="D8713">
        <v>18</v>
      </c>
    </row>
    <row r="8714" spans="1:4" x14ac:dyDescent="0.25">
      <c r="A8714" t="str">
        <f>T("   910521")</f>
        <v xml:space="preserve">   910521</v>
      </c>
      <c r="B8714"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714">
        <v>835487</v>
      </c>
      <c r="D8714">
        <v>216</v>
      </c>
    </row>
    <row r="8715" spans="1:4" x14ac:dyDescent="0.25">
      <c r="A8715" t="str">
        <f>T("   940290")</f>
        <v xml:space="preserve">   940290</v>
      </c>
      <c r="B8715"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8715">
        <v>709782</v>
      </c>
      <c r="D8715">
        <v>45</v>
      </c>
    </row>
    <row r="8716" spans="1:4" x14ac:dyDescent="0.25">
      <c r="A8716" t="str">
        <f>T("   940320")</f>
        <v xml:space="preserve">   940320</v>
      </c>
      <c r="B871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716">
        <v>5369677</v>
      </c>
      <c r="D8716">
        <v>1548</v>
      </c>
    </row>
    <row r="8717" spans="1:4" x14ac:dyDescent="0.25">
      <c r="A8717" t="str">
        <f>T("   940350")</f>
        <v xml:space="preserve">   940350</v>
      </c>
      <c r="B8717" t="str">
        <f>T("   Meubles pour chambres à coucher, en bois (sauf sièges)")</f>
        <v xml:space="preserve">   Meubles pour chambres à coucher, en bois (sauf sièges)</v>
      </c>
      <c r="C8717">
        <v>2500000</v>
      </c>
      <c r="D8717">
        <v>2200</v>
      </c>
    </row>
    <row r="8718" spans="1:4" x14ac:dyDescent="0.25">
      <c r="A8718" t="str">
        <f>T("   940360")</f>
        <v xml:space="preserve">   940360</v>
      </c>
      <c r="B8718" t="str">
        <f>T("   Meubles en bois (autres que pour bureaux, cuisines ou chambres à coucher et autres que sièges)")</f>
        <v xml:space="preserve">   Meubles en bois (autres que pour bureaux, cuisines ou chambres à coucher et autres que sièges)</v>
      </c>
      <c r="C8718">
        <v>3646984</v>
      </c>
      <c r="D8718">
        <v>15560</v>
      </c>
    </row>
    <row r="8719" spans="1:4" x14ac:dyDescent="0.25">
      <c r="A8719" t="str">
        <f>T("   940380")</f>
        <v xml:space="preserve">   940380</v>
      </c>
      <c r="B8719" t="str">
        <f>T("   Meubles en rotin, osier, bambou ou autres matières (sauf métal, bois et matières plastiques)")</f>
        <v xml:space="preserve">   Meubles en rotin, osier, bambou ou autres matières (sauf métal, bois et matières plastiques)</v>
      </c>
      <c r="C8719">
        <v>420000</v>
      </c>
      <c r="D8719">
        <v>9611</v>
      </c>
    </row>
    <row r="8720" spans="1:4" x14ac:dyDescent="0.25">
      <c r="A8720" t="str">
        <f>T("   940381")</f>
        <v xml:space="preserve">   940381</v>
      </c>
      <c r="B8720"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8720">
        <v>3040000</v>
      </c>
      <c r="D8720">
        <v>4000</v>
      </c>
    </row>
    <row r="8721" spans="1:4" x14ac:dyDescent="0.25">
      <c r="A8721" t="str">
        <f>T("   940389")</f>
        <v xml:space="preserve">   940389</v>
      </c>
      <c r="B8721"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8721">
        <v>2956661</v>
      </c>
      <c r="D8721">
        <v>4578</v>
      </c>
    </row>
    <row r="8722" spans="1:4" x14ac:dyDescent="0.25">
      <c r="A8722" t="str">
        <f>T("   940520")</f>
        <v xml:space="preserve">   940520</v>
      </c>
      <c r="B8722" t="str">
        <f>T("   Lampes de chevet, lampes de bureau et lampadaires d'intérieur, électriques")</f>
        <v xml:space="preserve">   Lampes de chevet, lampes de bureau et lampadaires d'intérieur, électriques</v>
      </c>
      <c r="C8722">
        <v>349627</v>
      </c>
      <c r="D8722">
        <v>328</v>
      </c>
    </row>
    <row r="8723" spans="1:4" x14ac:dyDescent="0.25">
      <c r="A8723" t="str">
        <f>T("   940560")</f>
        <v xml:space="preserve">   940560</v>
      </c>
      <c r="B8723"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723">
        <v>918345</v>
      </c>
      <c r="D8723">
        <v>95</v>
      </c>
    </row>
    <row r="8724" spans="1:4" x14ac:dyDescent="0.25">
      <c r="A8724" t="str">
        <f>T("   950430")</f>
        <v xml:space="preserve">   950430</v>
      </c>
      <c r="B8724" t="s">
        <v>538</v>
      </c>
      <c r="C8724">
        <v>10000</v>
      </c>
      <c r="D8724">
        <v>10</v>
      </c>
    </row>
    <row r="8725" spans="1:4" x14ac:dyDescent="0.25">
      <c r="A8725" t="str">
        <f>T("   950590")</f>
        <v xml:space="preserve">   950590</v>
      </c>
      <c r="B8725" t="str">
        <f>T("   Articles pour fêtes, carnaval ou autres divertissements, y.c. les articles de magie et articles-surprises, n.d.a.")</f>
        <v xml:space="preserve">   Articles pour fêtes, carnaval ou autres divertissements, y.c. les articles de magie et articles-surprises, n.d.a.</v>
      </c>
      <c r="C8725">
        <v>1363255</v>
      </c>
      <c r="D8725">
        <v>108</v>
      </c>
    </row>
    <row r="8726" spans="1:4" x14ac:dyDescent="0.25">
      <c r="A8726" t="str">
        <f>T("   950659")</f>
        <v xml:space="preserve">   950659</v>
      </c>
      <c r="B8726"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8726">
        <v>345691</v>
      </c>
      <c r="D8726">
        <v>118</v>
      </c>
    </row>
    <row r="8727" spans="1:4" x14ac:dyDescent="0.25">
      <c r="A8727" t="str">
        <f>T("   960329")</f>
        <v xml:space="preserve">   960329</v>
      </c>
      <c r="B8727"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8727">
        <v>234834</v>
      </c>
      <c r="D8727">
        <v>240</v>
      </c>
    </row>
    <row r="8728" spans="1:4" x14ac:dyDescent="0.25">
      <c r="A8728" t="str">
        <f>T("   960810")</f>
        <v xml:space="preserve">   960810</v>
      </c>
      <c r="B8728" t="str">
        <f>T("   Stylos et crayons à bille")</f>
        <v xml:space="preserve">   Stylos et crayons à bille</v>
      </c>
      <c r="C8728">
        <v>59036</v>
      </c>
      <c r="D8728">
        <v>117</v>
      </c>
    </row>
    <row r="8729" spans="1:4" x14ac:dyDescent="0.25">
      <c r="A8729" t="str">
        <f>T("NO")</f>
        <v>NO</v>
      </c>
      <c r="B8729" t="str">
        <f>T("Norvège")</f>
        <v>Norvège</v>
      </c>
    </row>
    <row r="8730" spans="1:4" x14ac:dyDescent="0.25">
      <c r="A8730" t="str">
        <f>T("   ZZ_Total_Produit_SH6")</f>
        <v xml:space="preserve">   ZZ_Total_Produit_SH6</v>
      </c>
      <c r="B8730" t="str">
        <f>T("   ZZ_Total_Produit_SH6")</f>
        <v xml:space="preserve">   ZZ_Total_Produit_SH6</v>
      </c>
      <c r="C8730">
        <v>2824339723</v>
      </c>
      <c r="D8730">
        <v>58659814.549999997</v>
      </c>
    </row>
    <row r="8731" spans="1:4" x14ac:dyDescent="0.25">
      <c r="A8731" t="str">
        <f>T("   250590")</f>
        <v xml:space="preserve">   250590</v>
      </c>
      <c r="B8731"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8731">
        <v>6993098</v>
      </c>
      <c r="D8731">
        <v>6825</v>
      </c>
    </row>
    <row r="8732" spans="1:4" x14ac:dyDescent="0.25">
      <c r="A8732" t="str">
        <f>T("   252310")</f>
        <v xml:space="preserve">   252310</v>
      </c>
      <c r="B8732" t="str">
        <f>T("   Ciments non pulvérisés dits 'clinkers'")</f>
        <v xml:space="preserve">   Ciments non pulvérisés dits 'clinkers'</v>
      </c>
      <c r="C8732">
        <v>700000000</v>
      </c>
      <c r="D8732">
        <v>20000000</v>
      </c>
    </row>
    <row r="8733" spans="1:4" x14ac:dyDescent="0.25">
      <c r="A8733" t="str">
        <f>T("   252329")</f>
        <v xml:space="preserve">   252329</v>
      </c>
      <c r="B8733" t="str">
        <f>T("   Ciment Portland normal ou modéré (à l'excl. des ciments Portland blancs, même colorés artificiellement)")</f>
        <v xml:space="preserve">   Ciment Portland normal ou modéré (à l'excl. des ciments Portland blancs, même colorés artificiellement)</v>
      </c>
      <c r="C8733">
        <v>1445691000</v>
      </c>
      <c r="D8733">
        <v>38044500</v>
      </c>
    </row>
    <row r="8734" spans="1:4" x14ac:dyDescent="0.25">
      <c r="A8734" t="str">
        <f>T("   252390")</f>
        <v xml:space="preserve">   252390</v>
      </c>
      <c r="B8734" t="str">
        <f>T("   Ciments, même colorés (à l'excl. des ciments Portland et des ciments alumineux)")</f>
        <v xml:space="preserve">   Ciments, même colorés (à l'excl. des ciments Portland et des ciments alumineux)</v>
      </c>
      <c r="C8734">
        <v>1080011</v>
      </c>
      <c r="D8734">
        <v>1054</v>
      </c>
    </row>
    <row r="8735" spans="1:4" x14ac:dyDescent="0.25">
      <c r="A8735" t="str">
        <f>T("   382440")</f>
        <v xml:space="preserve">   382440</v>
      </c>
      <c r="B8735" t="str">
        <f>T("   Additifs préparés pour ciments, mortiers ou bétons")</f>
        <v xml:space="preserve">   Additifs préparés pour ciments, mortiers ou bétons</v>
      </c>
      <c r="C8735">
        <v>83265573</v>
      </c>
      <c r="D8735">
        <v>94140</v>
      </c>
    </row>
    <row r="8736" spans="1:4" x14ac:dyDescent="0.25">
      <c r="A8736" t="str">
        <f>T("   391739")</f>
        <v xml:space="preserve">   391739</v>
      </c>
      <c r="B873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736">
        <v>2070715</v>
      </c>
      <c r="D8736">
        <v>5</v>
      </c>
    </row>
    <row r="8737" spans="1:4" x14ac:dyDescent="0.25">
      <c r="A8737" t="str">
        <f>T("   401120")</f>
        <v xml:space="preserve">   401120</v>
      </c>
      <c r="B873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737">
        <v>3500000</v>
      </c>
      <c r="D8737">
        <v>19700</v>
      </c>
    </row>
    <row r="8738" spans="1:4" x14ac:dyDescent="0.25">
      <c r="A8738" t="str">
        <f>T("   401699")</f>
        <v xml:space="preserve">   401699</v>
      </c>
      <c r="B8738" t="str">
        <f>T("   OUVRAGES EN CAOUTCHOUC VULCANISÉ NON-DURCI, N.D.A.")</f>
        <v xml:space="preserve">   OUVRAGES EN CAOUTCHOUC VULCANISÉ NON-DURCI, N.D.A.</v>
      </c>
      <c r="C8738">
        <v>125632</v>
      </c>
      <c r="D8738">
        <v>1</v>
      </c>
    </row>
    <row r="8739" spans="1:4" x14ac:dyDescent="0.25">
      <c r="A8739" t="str">
        <f>T("   481930")</f>
        <v xml:space="preserve">   481930</v>
      </c>
      <c r="B8739" t="str">
        <f>T("   Sacs, en papier, carton, ouate de cellulose ou nappes de fibres de cellulose, d'une largeur à la base &gt;= 40 cm")</f>
        <v xml:space="preserve">   Sacs, en papier, carton, ouate de cellulose ou nappes de fibres de cellulose, d'une largeur à la base &gt;= 40 cm</v>
      </c>
      <c r="C8739">
        <v>296997735</v>
      </c>
      <c r="D8739">
        <v>376682</v>
      </c>
    </row>
    <row r="8740" spans="1:4" x14ac:dyDescent="0.25">
      <c r="A8740" t="str">
        <f>T("   481940")</f>
        <v xml:space="preserve">   481940</v>
      </c>
      <c r="B8740"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740">
        <v>189697</v>
      </c>
      <c r="D8740">
        <v>462</v>
      </c>
    </row>
    <row r="8741" spans="1:4" x14ac:dyDescent="0.25">
      <c r="A8741" t="str">
        <f>T("   610190")</f>
        <v xml:space="preserve">   610190</v>
      </c>
      <c r="B8741" t="s">
        <v>278</v>
      </c>
      <c r="C8741">
        <v>280250</v>
      </c>
      <c r="D8741">
        <v>550</v>
      </c>
    </row>
    <row r="8742" spans="1:4" x14ac:dyDescent="0.25">
      <c r="A8742" t="str">
        <f>T("   610799")</f>
        <v xml:space="preserve">   610799</v>
      </c>
      <c r="B8742"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8742">
        <v>100000</v>
      </c>
      <c r="D8742">
        <v>100</v>
      </c>
    </row>
    <row r="8743" spans="1:4" x14ac:dyDescent="0.25">
      <c r="A8743" t="str">
        <f>T("   731815")</f>
        <v xml:space="preserve">   731815</v>
      </c>
      <c r="B8743" t="s">
        <v>380</v>
      </c>
      <c r="C8743">
        <v>607387</v>
      </c>
      <c r="D8743">
        <v>8</v>
      </c>
    </row>
    <row r="8744" spans="1:4" x14ac:dyDescent="0.25">
      <c r="A8744" t="str">
        <f>T("   732090")</f>
        <v xml:space="preserve">   732090</v>
      </c>
      <c r="B8744" t="s">
        <v>381</v>
      </c>
      <c r="C8744">
        <v>128844</v>
      </c>
      <c r="D8744">
        <v>1</v>
      </c>
    </row>
    <row r="8745" spans="1:4" x14ac:dyDescent="0.25">
      <c r="A8745" t="str">
        <f>T("   732611")</f>
        <v xml:space="preserve">   732611</v>
      </c>
      <c r="B8745" t="str">
        <f>T("   Boulets et simil. pour broyeurs, en fer ou en acier, forgés ou estampés mais non autrement travaillés")</f>
        <v xml:space="preserve">   Boulets et simil. pour broyeurs, en fer ou en acier, forgés ou estampés mais non autrement travaillés</v>
      </c>
      <c r="C8745">
        <v>63906640</v>
      </c>
      <c r="D8745">
        <v>69564</v>
      </c>
    </row>
    <row r="8746" spans="1:4" x14ac:dyDescent="0.25">
      <c r="A8746" t="str">
        <f>T("   841381")</f>
        <v xml:space="preserve">   841381</v>
      </c>
      <c r="B8746" t="s">
        <v>420</v>
      </c>
      <c r="C8746">
        <v>2790506</v>
      </c>
      <c r="D8746">
        <v>173</v>
      </c>
    </row>
    <row r="8747" spans="1:4" x14ac:dyDescent="0.25">
      <c r="A8747" t="str">
        <f>T("   842839")</f>
        <v xml:space="preserve">   842839</v>
      </c>
      <c r="B8747"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8747">
        <v>44221602</v>
      </c>
      <c r="D8747">
        <v>6315</v>
      </c>
    </row>
    <row r="8748" spans="1:4" x14ac:dyDescent="0.25">
      <c r="A8748" t="str">
        <f>T("   843143")</f>
        <v xml:space="preserve">   843143</v>
      </c>
      <c r="B8748" t="str">
        <f>T("   Parties de machines de sondage ou de forage du n° 8430.41 ou 8430.49, n.d.a.")</f>
        <v xml:space="preserve">   Parties de machines de sondage ou de forage du n° 8430.41 ou 8430.49, n.d.a.</v>
      </c>
      <c r="C8748">
        <v>76275029</v>
      </c>
      <c r="D8748">
        <v>376</v>
      </c>
    </row>
    <row r="8749" spans="1:4" x14ac:dyDescent="0.25">
      <c r="A8749" t="str">
        <f>T("   847490")</f>
        <v xml:space="preserve">   847490</v>
      </c>
      <c r="B8749" t="str">
        <f>T("   Parties des machines et appareils pour le travail des matières minérales du n° 8474, n.d.a.")</f>
        <v xml:space="preserve">   Parties des machines et appareils pour le travail des matières minérales du n° 8474, n.d.a.</v>
      </c>
      <c r="C8749">
        <v>29712653</v>
      </c>
      <c r="D8749">
        <v>8926</v>
      </c>
    </row>
    <row r="8750" spans="1:4" x14ac:dyDescent="0.25">
      <c r="A8750" t="str">
        <f>T("   848330")</f>
        <v xml:space="preserve">   848330</v>
      </c>
      <c r="B8750" t="str">
        <f>T("   Paliers pour machines, sans roulements incorporés; coussinets et coquilles de coussinets pour machines")</f>
        <v xml:space="preserve">   Paliers pour machines, sans roulements incorporés; coussinets et coquilles de coussinets pour machines</v>
      </c>
      <c r="C8750">
        <v>34242660</v>
      </c>
      <c r="D8750">
        <v>1600</v>
      </c>
    </row>
    <row r="8751" spans="1:4" x14ac:dyDescent="0.25">
      <c r="A8751" t="str">
        <f>T("   850239")</f>
        <v xml:space="preserve">   850239</v>
      </c>
      <c r="B8751" t="str">
        <f>T("   Groupes électrogènes (autres qu'à énergie éolienne et à moteurs à piston)")</f>
        <v xml:space="preserve">   Groupes électrogènes (autres qu'à énergie éolienne et à moteurs à piston)</v>
      </c>
      <c r="C8751">
        <v>400000</v>
      </c>
      <c r="D8751">
        <v>2400</v>
      </c>
    </row>
    <row r="8752" spans="1:4" x14ac:dyDescent="0.25">
      <c r="A8752" t="str">
        <f>T("   850422")</f>
        <v xml:space="preserve">   850422</v>
      </c>
      <c r="B8752" t="str">
        <f>T("   Transformateurs à diélectrique liquide, puissance &gt; 650 kVA mais &lt;= 10.000 kVA")</f>
        <v xml:space="preserve">   Transformateurs à diélectrique liquide, puissance &gt; 650 kVA mais &lt;= 10.000 kVA</v>
      </c>
      <c r="C8752">
        <v>84396</v>
      </c>
      <c r="D8752">
        <v>0.6</v>
      </c>
    </row>
    <row r="8753" spans="1:4" x14ac:dyDescent="0.25">
      <c r="A8753" t="str">
        <f>T("   850490")</f>
        <v xml:space="preserve">   850490</v>
      </c>
      <c r="B8753" t="str">
        <f>T("   Parties de transformateurs, de bobines de réactance et selfs n.d.a.")</f>
        <v xml:space="preserve">   Parties de transformateurs, de bobines de réactance et selfs n.d.a.</v>
      </c>
      <c r="C8753">
        <v>2510100</v>
      </c>
      <c r="D8753">
        <v>3</v>
      </c>
    </row>
    <row r="8754" spans="1:4" x14ac:dyDescent="0.25">
      <c r="A8754" t="str">
        <f>T("   850650")</f>
        <v xml:space="preserve">   850650</v>
      </c>
      <c r="B8754" t="str">
        <f>T("   Piles et batteries de piles électriques, au lithium (sauf hors d'usage)")</f>
        <v xml:space="preserve">   Piles et batteries de piles électriques, au lithium (sauf hors d'usage)</v>
      </c>
      <c r="C8754">
        <v>263552</v>
      </c>
      <c r="D8754">
        <v>1</v>
      </c>
    </row>
    <row r="8755" spans="1:4" x14ac:dyDescent="0.25">
      <c r="A8755" t="str">
        <f>T("   851769")</f>
        <v xml:space="preserve">   851769</v>
      </c>
      <c r="B8755" t="s">
        <v>481</v>
      </c>
      <c r="C8755">
        <v>7125584</v>
      </c>
      <c r="D8755">
        <v>43</v>
      </c>
    </row>
    <row r="8756" spans="1:4" x14ac:dyDescent="0.25">
      <c r="A8756" t="str">
        <f>T("   852812")</f>
        <v xml:space="preserve">   852812</v>
      </c>
      <c r="B875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756">
        <v>600000</v>
      </c>
      <c r="D8756">
        <v>2250</v>
      </c>
    </row>
    <row r="8757" spans="1:4" x14ac:dyDescent="0.25">
      <c r="A8757" t="str">
        <f>T("   852859")</f>
        <v xml:space="preserve">   852859</v>
      </c>
      <c r="B8757"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8757">
        <v>1400000</v>
      </c>
      <c r="D8757">
        <v>6400</v>
      </c>
    </row>
    <row r="8758" spans="1:4" x14ac:dyDescent="0.25">
      <c r="A8758" t="str">
        <f>T("   853650")</f>
        <v xml:space="preserve">   853650</v>
      </c>
      <c r="B8758" t="str">
        <f>T("   Interrupteurs, sectionneurs et commutateurs, pour une tension &lt;= 1.000 V (autres que relais et disjoncteurs)")</f>
        <v xml:space="preserve">   Interrupteurs, sectionneurs et commutateurs, pour une tension &lt;= 1.000 V (autres que relais et disjoncteurs)</v>
      </c>
      <c r="C8758">
        <v>2743828</v>
      </c>
      <c r="D8758">
        <v>26</v>
      </c>
    </row>
    <row r="8759" spans="1:4" x14ac:dyDescent="0.25">
      <c r="A8759" t="str">
        <f>T("   853710")</f>
        <v xml:space="preserve">   853710</v>
      </c>
      <c r="B875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759">
        <v>1663639</v>
      </c>
      <c r="D8759">
        <v>1</v>
      </c>
    </row>
    <row r="8760" spans="1:4" x14ac:dyDescent="0.25">
      <c r="A8760" t="str">
        <f>T("   854129")</f>
        <v xml:space="preserve">   854129</v>
      </c>
      <c r="B8760" t="str">
        <f>T("   Transistors à pouvoir de dissipation &gt;= 1 W (autres que phototransistors)")</f>
        <v xml:space="preserve">   Transistors à pouvoir de dissipation &gt;= 1 W (autres que phototransistors)</v>
      </c>
      <c r="C8760">
        <v>867756</v>
      </c>
      <c r="D8760">
        <v>0.95</v>
      </c>
    </row>
    <row r="8761" spans="1:4" x14ac:dyDescent="0.25">
      <c r="A8761" t="str">
        <f>T("   854419")</f>
        <v xml:space="preserve">   854419</v>
      </c>
      <c r="B8761" t="str">
        <f>T("   Fils pour bobinages pour l'électricité, autres qu'en cuivre, isolés")</f>
        <v xml:space="preserve">   Fils pour bobinages pour l'électricité, autres qu'en cuivre, isolés</v>
      </c>
      <c r="C8761">
        <v>889115</v>
      </c>
      <c r="D8761">
        <v>9</v>
      </c>
    </row>
    <row r="8762" spans="1:4" x14ac:dyDescent="0.25">
      <c r="A8762" t="str">
        <f>T("   854420")</f>
        <v xml:space="preserve">   854420</v>
      </c>
      <c r="B8762" t="str">
        <f>T("   Câbles coaxiaux et autres conducteurs électriques coaxiaux, isolés")</f>
        <v xml:space="preserve">   Câbles coaxiaux et autres conducteurs électriques coaxiaux, isolés</v>
      </c>
      <c r="C8762">
        <v>96228</v>
      </c>
      <c r="D8762">
        <v>26</v>
      </c>
    </row>
    <row r="8763" spans="1:4" x14ac:dyDescent="0.25">
      <c r="A8763" t="str">
        <f>T("   870120")</f>
        <v xml:space="preserve">   870120</v>
      </c>
      <c r="B8763" t="str">
        <f>T("   Tracteurs routiers pour semi-remorques")</f>
        <v xml:space="preserve">   Tracteurs routiers pour semi-remorques</v>
      </c>
      <c r="C8763">
        <v>2000000</v>
      </c>
      <c r="D8763">
        <v>3000</v>
      </c>
    </row>
    <row r="8764" spans="1:4" x14ac:dyDescent="0.25">
      <c r="A8764" t="str">
        <f>T("   870322")</f>
        <v xml:space="preserve">   870322</v>
      </c>
      <c r="B8764" t="s">
        <v>506</v>
      </c>
      <c r="C8764">
        <v>2400000</v>
      </c>
      <c r="D8764">
        <v>1550</v>
      </c>
    </row>
    <row r="8765" spans="1:4" x14ac:dyDescent="0.25">
      <c r="A8765" t="str">
        <f>T("   870333")</f>
        <v xml:space="preserve">   870333</v>
      </c>
      <c r="B8765" t="s">
        <v>511</v>
      </c>
      <c r="C8765">
        <v>4236000</v>
      </c>
      <c r="D8765">
        <v>1720</v>
      </c>
    </row>
    <row r="8766" spans="1:4" x14ac:dyDescent="0.25">
      <c r="A8766" t="str">
        <f>T("   870421")</f>
        <v xml:space="preserve">   870421</v>
      </c>
      <c r="B8766" t="s">
        <v>512</v>
      </c>
      <c r="C8766">
        <v>1200000</v>
      </c>
      <c r="D8766">
        <v>2800</v>
      </c>
    </row>
    <row r="8767" spans="1:4" x14ac:dyDescent="0.25">
      <c r="A8767" t="str">
        <f>T("   871200")</f>
        <v xml:space="preserve">   871200</v>
      </c>
      <c r="B8767" t="str">
        <f>T("   BICYCLETTES ET AUTRES CYCLES, -Y.C. LES TRIPORTEURS-, SANS MOTEUR")</f>
        <v xml:space="preserve">   BICYCLETTES ET AUTRES CYCLES, -Y.C. LES TRIPORTEURS-, SANS MOTEUR</v>
      </c>
      <c r="C8767">
        <v>350000</v>
      </c>
      <c r="D8767">
        <v>2700</v>
      </c>
    </row>
    <row r="8768" spans="1:4" x14ac:dyDescent="0.25">
      <c r="A8768" t="str">
        <f>T("   871640")</f>
        <v xml:space="preserve">   871640</v>
      </c>
      <c r="B8768"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768">
        <v>2000000</v>
      </c>
      <c r="D8768">
        <v>5000</v>
      </c>
    </row>
    <row r="8769" spans="1:4" x14ac:dyDescent="0.25">
      <c r="A8769" t="str">
        <f>T("   902000")</f>
        <v xml:space="preserve">   902000</v>
      </c>
      <c r="B8769"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8769">
        <v>330493</v>
      </c>
      <c r="D8769">
        <v>2</v>
      </c>
    </row>
    <row r="8770" spans="1:4" x14ac:dyDescent="0.25">
      <c r="A8770" t="str">
        <f>T("   940169")</f>
        <v xml:space="preserve">   940169</v>
      </c>
      <c r="B8770" t="str">
        <f>T("   Sièges, avec bâti en bois, non rembourrés")</f>
        <v xml:space="preserve">   Sièges, avec bâti en bois, non rembourrés</v>
      </c>
      <c r="C8770">
        <v>700000</v>
      </c>
      <c r="D8770">
        <v>700</v>
      </c>
    </row>
    <row r="8771" spans="1:4" x14ac:dyDescent="0.25">
      <c r="A8771" t="str">
        <f>T("   940380")</f>
        <v xml:space="preserve">   940380</v>
      </c>
      <c r="B8771" t="str">
        <f>T("   Meubles en rotin, osier, bambou ou autres matières (sauf métal, bois et matières plastiques)")</f>
        <v xml:space="preserve">   Meubles en rotin, osier, bambou ou autres matières (sauf métal, bois et matières plastiques)</v>
      </c>
      <c r="C8771">
        <v>300000</v>
      </c>
      <c r="D8771">
        <v>200</v>
      </c>
    </row>
    <row r="8772" spans="1:4" x14ac:dyDescent="0.25">
      <c r="A8772" t="str">
        <f>T("NR")</f>
        <v>NR</v>
      </c>
      <c r="B8772" t="str">
        <f>T("Nauru")</f>
        <v>Nauru</v>
      </c>
    </row>
    <row r="8773" spans="1:4" x14ac:dyDescent="0.25">
      <c r="A8773" t="str">
        <f>T("   ZZ_Total_Produit_SH6")</f>
        <v xml:space="preserve">   ZZ_Total_Produit_SH6</v>
      </c>
      <c r="B8773" t="str">
        <f>T("   ZZ_Total_Produit_SH6")</f>
        <v xml:space="preserve">   ZZ_Total_Produit_SH6</v>
      </c>
      <c r="C8773">
        <v>1084745</v>
      </c>
      <c r="D8773">
        <v>5</v>
      </c>
    </row>
    <row r="8774" spans="1:4" x14ac:dyDescent="0.25">
      <c r="A8774" t="str">
        <f>T("   848120")</f>
        <v xml:space="preserve">   848120</v>
      </c>
      <c r="B8774" t="str">
        <f>T("   Valves pour transmissions oléohydrauliques ou pneumatiques")</f>
        <v xml:space="preserve">   Valves pour transmissions oléohydrauliques ou pneumatiques</v>
      </c>
      <c r="C8774">
        <v>1084745</v>
      </c>
      <c r="D8774">
        <v>5</v>
      </c>
    </row>
    <row r="8775" spans="1:4" x14ac:dyDescent="0.25">
      <c r="A8775" t="str">
        <f>T("NZ")</f>
        <v>NZ</v>
      </c>
      <c r="B8775" t="str">
        <f>T("Nouvelle-Zélande")</f>
        <v>Nouvelle-Zélande</v>
      </c>
    </row>
    <row r="8776" spans="1:4" x14ac:dyDescent="0.25">
      <c r="A8776" t="str">
        <f>T("   ZZ_Total_Produit_SH6")</f>
        <v xml:space="preserve">   ZZ_Total_Produit_SH6</v>
      </c>
      <c r="B8776" t="str">
        <f>T("   ZZ_Total_Produit_SH6")</f>
        <v xml:space="preserve">   ZZ_Total_Produit_SH6</v>
      </c>
      <c r="C8776">
        <v>40587920</v>
      </c>
      <c r="D8776">
        <v>118691.5</v>
      </c>
    </row>
    <row r="8777" spans="1:4" x14ac:dyDescent="0.25">
      <c r="A8777" t="str">
        <f>T("   020727")</f>
        <v xml:space="preserve">   020727</v>
      </c>
      <c r="B8777" t="str">
        <f>T("   Morceaux et abats comestibles de dindes et dindons [des espèces domestiques], congelés")</f>
        <v xml:space="preserve">   Morceaux et abats comestibles de dindes et dindons [des espèces domestiques], congelés</v>
      </c>
      <c r="C8777">
        <v>15550000</v>
      </c>
      <c r="D8777">
        <v>25000</v>
      </c>
    </row>
    <row r="8778" spans="1:4" x14ac:dyDescent="0.25">
      <c r="A8778" t="str">
        <f>T("   030379")</f>
        <v xml:space="preserve">   030379</v>
      </c>
      <c r="B8778" t="s">
        <v>16</v>
      </c>
      <c r="C8778">
        <v>18225000</v>
      </c>
      <c r="D8778">
        <v>81000</v>
      </c>
    </row>
    <row r="8779" spans="1:4" x14ac:dyDescent="0.25">
      <c r="A8779" t="str">
        <f>T("   820559")</f>
        <v xml:space="preserve">   820559</v>
      </c>
      <c r="B8779" t="str">
        <f>T("   Outils à main, y.c. -les diamants de vitrier-, en métaux communs, n.d.a.")</f>
        <v xml:space="preserve">   Outils à main, y.c. -les diamants de vitrier-, en métaux communs, n.d.a.</v>
      </c>
      <c r="C8779">
        <v>3930578</v>
      </c>
      <c r="D8779">
        <v>12635</v>
      </c>
    </row>
    <row r="8780" spans="1:4" x14ac:dyDescent="0.25">
      <c r="A8780" t="str">
        <f>T("   847190")</f>
        <v xml:space="preserve">   847190</v>
      </c>
      <c r="B878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780">
        <v>930901</v>
      </c>
      <c r="D8780">
        <v>37.4</v>
      </c>
    </row>
    <row r="8781" spans="1:4" x14ac:dyDescent="0.25">
      <c r="A8781" t="str">
        <f>T("   850440")</f>
        <v xml:space="preserve">   850440</v>
      </c>
      <c r="B8781" t="str">
        <f>T("   CONVERTISSEURS STATIQUES")</f>
        <v xml:space="preserve">   CONVERTISSEURS STATIQUES</v>
      </c>
      <c r="C8781">
        <v>498625</v>
      </c>
      <c r="D8781">
        <v>1</v>
      </c>
    </row>
    <row r="8782" spans="1:4" x14ac:dyDescent="0.25">
      <c r="A8782" t="str">
        <f>T("   851769")</f>
        <v xml:space="preserve">   851769</v>
      </c>
      <c r="B8782" t="s">
        <v>481</v>
      </c>
      <c r="C8782">
        <v>53285</v>
      </c>
      <c r="D8782">
        <v>6</v>
      </c>
    </row>
    <row r="8783" spans="1:4" x14ac:dyDescent="0.25">
      <c r="A8783" t="str">
        <f>T("   901890")</f>
        <v xml:space="preserve">   901890</v>
      </c>
      <c r="B8783" t="str">
        <f>T("   Instruments et appareils pour la médecine, la chirurgie ou l'art vétérinaire, n.d.a.")</f>
        <v xml:space="preserve">   Instruments et appareils pour la médecine, la chirurgie ou l'art vétérinaire, n.d.a.</v>
      </c>
      <c r="C8783">
        <v>170000</v>
      </c>
      <c r="D8783">
        <v>9.1</v>
      </c>
    </row>
    <row r="8784" spans="1:4" x14ac:dyDescent="0.25">
      <c r="A8784" t="str">
        <f>T("   902680")</f>
        <v xml:space="preserve">   902680</v>
      </c>
      <c r="B8784" t="str">
        <f>T("   Instruments et appareils pour la mesure et le contrôle des caractéristiques variables des liquides ou des gaz, n.d.a.")</f>
        <v xml:space="preserve">   Instruments et appareils pour la mesure et le contrôle des caractéristiques variables des liquides ou des gaz, n.d.a.</v>
      </c>
      <c r="C8784">
        <v>760861</v>
      </c>
      <c r="D8784">
        <v>1</v>
      </c>
    </row>
    <row r="8785" spans="1:4" x14ac:dyDescent="0.25">
      <c r="A8785" t="str">
        <f>T("   903039")</f>
        <v xml:space="preserve">   903039</v>
      </c>
      <c r="B8785"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8785">
        <v>468670</v>
      </c>
      <c r="D8785">
        <v>2</v>
      </c>
    </row>
    <row r="8786" spans="1:4" x14ac:dyDescent="0.25">
      <c r="A8786" t="str">
        <f>T("OM")</f>
        <v>OM</v>
      </c>
      <c r="B8786" t="str">
        <f>T("Oman")</f>
        <v>Oman</v>
      </c>
    </row>
    <row r="8787" spans="1:4" x14ac:dyDescent="0.25">
      <c r="A8787" t="str">
        <f>T("   ZZ_Total_Produit_SH6")</f>
        <v xml:space="preserve">   ZZ_Total_Produit_SH6</v>
      </c>
      <c r="B8787" t="str">
        <f>T("   ZZ_Total_Produit_SH6")</f>
        <v xml:space="preserve">   ZZ_Total_Produit_SH6</v>
      </c>
      <c r="C8787">
        <v>101287405</v>
      </c>
      <c r="D8787">
        <v>351200</v>
      </c>
    </row>
    <row r="8788" spans="1:4" x14ac:dyDescent="0.25">
      <c r="A8788" t="str">
        <f>T("   030379")</f>
        <v xml:space="preserve">   030379</v>
      </c>
      <c r="B8788" t="s">
        <v>16</v>
      </c>
      <c r="C8788">
        <v>25515000</v>
      </c>
      <c r="D8788">
        <v>113400</v>
      </c>
    </row>
    <row r="8789" spans="1:4" x14ac:dyDescent="0.25">
      <c r="A8789" t="str">
        <f>T("   190220")</f>
        <v xml:space="preserve">   190220</v>
      </c>
      <c r="B8789" t="str">
        <f>T("   Pâtes alimentaires, farcies de viande ou d'autres substances, même cuites ou autrement préparées")</f>
        <v xml:space="preserve">   Pâtes alimentaires, farcies de viande ou d'autres substances, même cuites ou autrement préparées</v>
      </c>
      <c r="C8789">
        <v>40847942</v>
      </c>
      <c r="D8789">
        <v>189000</v>
      </c>
    </row>
    <row r="8790" spans="1:4" x14ac:dyDescent="0.25">
      <c r="A8790" t="str">
        <f>T("   630900")</f>
        <v xml:space="preserve">   630900</v>
      </c>
      <c r="B8790" t="s">
        <v>300</v>
      </c>
      <c r="C8790">
        <v>19651492</v>
      </c>
      <c r="D8790">
        <v>44000</v>
      </c>
    </row>
    <row r="8791" spans="1:4" x14ac:dyDescent="0.25">
      <c r="A8791" t="str">
        <f>T("   870421")</f>
        <v xml:space="preserve">   870421</v>
      </c>
      <c r="B8791" t="s">
        <v>512</v>
      </c>
      <c r="C8791">
        <v>10132857</v>
      </c>
      <c r="D8791">
        <v>3000</v>
      </c>
    </row>
    <row r="8792" spans="1:4" x14ac:dyDescent="0.25">
      <c r="A8792" t="str">
        <f>T("   870431")</f>
        <v xml:space="preserve">   870431</v>
      </c>
      <c r="B8792" t="s">
        <v>515</v>
      </c>
      <c r="C8792">
        <v>5140114</v>
      </c>
      <c r="D8792">
        <v>1800</v>
      </c>
    </row>
    <row r="8793" spans="1:4" x14ac:dyDescent="0.25">
      <c r="A8793" t="str">
        <f>T("PA")</f>
        <v>PA</v>
      </c>
      <c r="B8793" t="str">
        <f>T("Panama")</f>
        <v>Panama</v>
      </c>
    </row>
    <row r="8794" spans="1:4" x14ac:dyDescent="0.25">
      <c r="A8794" t="str">
        <f>T("   ZZ_Total_Produit_SH6")</f>
        <v xml:space="preserve">   ZZ_Total_Produit_SH6</v>
      </c>
      <c r="B8794" t="str">
        <f>T("   ZZ_Total_Produit_SH6")</f>
        <v xml:space="preserve">   ZZ_Total_Produit_SH6</v>
      </c>
      <c r="C8794">
        <v>270501713</v>
      </c>
      <c r="D8794">
        <v>1193348</v>
      </c>
    </row>
    <row r="8795" spans="1:4" x14ac:dyDescent="0.25">
      <c r="A8795" t="str">
        <f>T("   030329")</f>
        <v xml:space="preserve">   030329</v>
      </c>
      <c r="B8795" t="str">
        <f>T("   Salmonidés, congelés (à l'excl. des saumons du Pacifique, de l'Atlantique et du Danube ainsi que des truites)")</f>
        <v xml:space="preserve">   Salmonidés, congelés (à l'excl. des saumons du Pacifique, de l'Atlantique et du Danube ainsi que des truites)</v>
      </c>
      <c r="C8795">
        <v>268289799</v>
      </c>
      <c r="D8795">
        <v>1192398</v>
      </c>
    </row>
    <row r="8796" spans="1:4" x14ac:dyDescent="0.25">
      <c r="A8796" t="str">
        <f>T("   870422")</f>
        <v xml:space="preserve">   870422</v>
      </c>
      <c r="B8796" t="s">
        <v>513</v>
      </c>
      <c r="C8796">
        <v>2211914</v>
      </c>
      <c r="D8796">
        <v>950</v>
      </c>
    </row>
    <row r="8797" spans="1:4" x14ac:dyDescent="0.25">
      <c r="A8797" t="str">
        <f>T("PE")</f>
        <v>PE</v>
      </c>
      <c r="B8797" t="str">
        <f>T("Pérou")</f>
        <v>Pérou</v>
      </c>
    </row>
    <row r="8798" spans="1:4" x14ac:dyDescent="0.25">
      <c r="A8798" t="str">
        <f>T("   ZZ_Total_Produit_SH6")</f>
        <v xml:space="preserve">   ZZ_Total_Produit_SH6</v>
      </c>
      <c r="B8798" t="str">
        <f>T("   ZZ_Total_Produit_SH6")</f>
        <v xml:space="preserve">   ZZ_Total_Produit_SH6</v>
      </c>
      <c r="C8798">
        <v>6201000</v>
      </c>
      <c r="D8798">
        <v>27560</v>
      </c>
    </row>
    <row r="8799" spans="1:4" x14ac:dyDescent="0.25">
      <c r="A8799" t="str">
        <f>T("   030379")</f>
        <v xml:space="preserve">   030379</v>
      </c>
      <c r="B8799" t="s">
        <v>16</v>
      </c>
      <c r="C8799">
        <v>6201000</v>
      </c>
      <c r="D8799">
        <v>27560</v>
      </c>
    </row>
    <row r="8800" spans="1:4" x14ac:dyDescent="0.25">
      <c r="A8800" t="str">
        <f>T("PH")</f>
        <v>PH</v>
      </c>
      <c r="B8800" t="str">
        <f>T("Philippines")</f>
        <v>Philippines</v>
      </c>
    </row>
    <row r="8801" spans="1:4" x14ac:dyDescent="0.25">
      <c r="A8801" t="str">
        <f>T("   ZZ_Total_Produit_SH6")</f>
        <v xml:space="preserve">   ZZ_Total_Produit_SH6</v>
      </c>
      <c r="B8801" t="str">
        <f>T("   ZZ_Total_Produit_SH6")</f>
        <v xml:space="preserve">   ZZ_Total_Produit_SH6</v>
      </c>
      <c r="C8801">
        <v>175406976</v>
      </c>
      <c r="D8801">
        <v>140869</v>
      </c>
    </row>
    <row r="8802" spans="1:4" x14ac:dyDescent="0.25">
      <c r="A8802" t="str">
        <f>T("   340119")</f>
        <v xml:space="preserve">   340119</v>
      </c>
      <c r="B8802" t="s">
        <v>108</v>
      </c>
      <c r="C8802">
        <v>2185003</v>
      </c>
      <c r="D8802">
        <v>23975</v>
      </c>
    </row>
    <row r="8803" spans="1:4" x14ac:dyDescent="0.25">
      <c r="A8803" t="str">
        <f>T("   340220")</f>
        <v xml:space="preserve">   340220</v>
      </c>
      <c r="B8803" t="s">
        <v>109</v>
      </c>
      <c r="C8803">
        <v>25932912</v>
      </c>
      <c r="D8803">
        <v>111696</v>
      </c>
    </row>
    <row r="8804" spans="1:4" x14ac:dyDescent="0.25">
      <c r="A8804" t="str">
        <f>T("   848410")</f>
        <v xml:space="preserve">   848410</v>
      </c>
      <c r="B8804" t="str">
        <f>T("   Joints métalloplastiques")</f>
        <v xml:space="preserve">   Joints métalloplastiques</v>
      </c>
      <c r="C8804">
        <v>147129204</v>
      </c>
      <c r="D8804">
        <v>5184</v>
      </c>
    </row>
    <row r="8805" spans="1:4" x14ac:dyDescent="0.25">
      <c r="A8805" t="str">
        <f>T("   851769")</f>
        <v xml:space="preserve">   851769</v>
      </c>
      <c r="B8805" t="s">
        <v>481</v>
      </c>
      <c r="C8805">
        <v>159857</v>
      </c>
      <c r="D8805">
        <v>14</v>
      </c>
    </row>
    <row r="8806" spans="1:4" x14ac:dyDescent="0.25">
      <c r="A8806" t="str">
        <f>T("PK")</f>
        <v>PK</v>
      </c>
      <c r="B8806" t="str">
        <f>T("Pakistan")</f>
        <v>Pakistan</v>
      </c>
    </row>
    <row r="8807" spans="1:4" x14ac:dyDescent="0.25">
      <c r="A8807" t="str">
        <f>T("   ZZ_Total_Produit_SH6")</f>
        <v xml:space="preserve">   ZZ_Total_Produit_SH6</v>
      </c>
      <c r="B8807" t="str">
        <f>T("   ZZ_Total_Produit_SH6")</f>
        <v xml:space="preserve">   ZZ_Total_Produit_SH6</v>
      </c>
      <c r="C8807">
        <v>3164944391.2690001</v>
      </c>
      <c r="D8807">
        <v>12093679</v>
      </c>
    </row>
    <row r="8808" spans="1:4" x14ac:dyDescent="0.25">
      <c r="A8808" t="str">
        <f>T("   100620")</f>
        <v xml:space="preserve">   100620</v>
      </c>
      <c r="B8808" t="str">
        <f>T("   Riz décortiqué [riz cargo ou riz brun]")</f>
        <v xml:space="preserve">   Riz décortiqué [riz cargo ou riz brun]</v>
      </c>
      <c r="C8808">
        <v>500122161.86900002</v>
      </c>
      <c r="D8808">
        <v>1489000</v>
      </c>
    </row>
    <row r="8809" spans="1:4" x14ac:dyDescent="0.25">
      <c r="A8809" t="str">
        <f>T("   100630")</f>
        <v xml:space="preserve">   100630</v>
      </c>
      <c r="B8809" t="str">
        <f>T("   Riz semi-blanchi ou blanchi, même poli ou glacé")</f>
        <v xml:space="preserve">   Riz semi-blanchi ou blanchi, même poli ou glacé</v>
      </c>
      <c r="C8809">
        <v>2368976980.1680002</v>
      </c>
      <c r="D8809">
        <v>9177396</v>
      </c>
    </row>
    <row r="8810" spans="1:4" x14ac:dyDescent="0.25">
      <c r="A8810" t="str">
        <f>T("   100640")</f>
        <v xml:space="preserve">   100640</v>
      </c>
      <c r="B8810" t="str">
        <f>T("   Riz en brisures")</f>
        <v xml:space="preserve">   Riz en brisures</v>
      </c>
      <c r="C8810">
        <v>59674000</v>
      </c>
      <c r="D8810">
        <v>595180</v>
      </c>
    </row>
    <row r="8811" spans="1:4" x14ac:dyDescent="0.25">
      <c r="A8811" t="str">
        <f>T("   170191")</f>
        <v xml:space="preserve">   170191</v>
      </c>
      <c r="B8811" t="str">
        <f>T("   Sucres de canne ou de betterave, à l'état solide, additionnés d'aromatisants ou de colorants")</f>
        <v xml:space="preserve">   Sucres de canne ou de betterave, à l'état solide, additionnés d'aromatisants ou de colorants</v>
      </c>
      <c r="C8811">
        <v>57396280.053999998</v>
      </c>
      <c r="D8811">
        <v>250000</v>
      </c>
    </row>
    <row r="8812" spans="1:4" x14ac:dyDescent="0.25">
      <c r="A8812" t="str">
        <f>T("   170199")</f>
        <v xml:space="preserve">   170199</v>
      </c>
      <c r="B881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8812">
        <v>119280727.17900001</v>
      </c>
      <c r="D8812">
        <v>500000</v>
      </c>
    </row>
    <row r="8813" spans="1:4" x14ac:dyDescent="0.25">
      <c r="A8813" t="str">
        <f>T("   190230")</f>
        <v xml:space="preserve">   190230</v>
      </c>
      <c r="B8813" t="str">
        <f>T("   Pâtes alimentaires, cuites ou autrement préparées (à l'excl. des pâtes alimentaires farcies)")</f>
        <v xml:space="preserve">   Pâtes alimentaires, cuites ou autrement préparées (à l'excl. des pâtes alimentaires farcies)</v>
      </c>
      <c r="C8813">
        <v>66607</v>
      </c>
      <c r="D8813">
        <v>875</v>
      </c>
    </row>
    <row r="8814" spans="1:4" x14ac:dyDescent="0.25">
      <c r="A8814" t="str">
        <f>T("   190531")</f>
        <v xml:space="preserve">   190531</v>
      </c>
      <c r="B8814" t="str">
        <f>T("   Biscuits additionnés d'édulcorants")</f>
        <v xml:space="preserve">   Biscuits additionnés d'édulcorants</v>
      </c>
      <c r="C8814">
        <v>5402485</v>
      </c>
      <c r="D8814">
        <v>12600</v>
      </c>
    </row>
    <row r="8815" spans="1:4" x14ac:dyDescent="0.25">
      <c r="A8815" t="str">
        <f>T("   190590")</f>
        <v xml:space="preserve">   190590</v>
      </c>
      <c r="B8815" t="s">
        <v>52</v>
      </c>
      <c r="C8815">
        <v>18863</v>
      </c>
      <c r="D8815">
        <v>334</v>
      </c>
    </row>
    <row r="8816" spans="1:4" x14ac:dyDescent="0.25">
      <c r="A8816" t="str">
        <f>T("   210390")</f>
        <v xml:space="preserve">   210390</v>
      </c>
      <c r="B881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816">
        <v>217352</v>
      </c>
      <c r="D8816">
        <v>3345</v>
      </c>
    </row>
    <row r="8817" spans="1:4" x14ac:dyDescent="0.25">
      <c r="A8817" t="str">
        <f>T("   210690")</f>
        <v xml:space="preserve">   210690</v>
      </c>
      <c r="B8817" t="str">
        <f>T("   Préparations alimentaires, n.d.a.")</f>
        <v xml:space="preserve">   Préparations alimentaires, n.d.a.</v>
      </c>
      <c r="C8817">
        <v>79928</v>
      </c>
      <c r="D8817">
        <v>1051</v>
      </c>
    </row>
    <row r="8818" spans="1:4" x14ac:dyDescent="0.25">
      <c r="A8818" t="str">
        <f>T("   630491")</f>
        <v xml:space="preserve">   630491</v>
      </c>
      <c r="B8818" t="s">
        <v>298</v>
      </c>
      <c r="C8818">
        <v>18000000</v>
      </c>
      <c r="D8818">
        <v>51070</v>
      </c>
    </row>
    <row r="8819" spans="1:4" x14ac:dyDescent="0.25">
      <c r="A8819" t="str">
        <f>T("   630900")</f>
        <v xml:space="preserve">   630900</v>
      </c>
      <c r="B8819" t="s">
        <v>300</v>
      </c>
      <c r="C8819">
        <v>4900676</v>
      </c>
      <c r="D8819">
        <v>8834</v>
      </c>
    </row>
    <row r="8820" spans="1:4" x14ac:dyDescent="0.25">
      <c r="A8820" t="str">
        <f>T("   841459")</f>
        <v xml:space="preserve">   841459</v>
      </c>
      <c r="B882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8820">
        <v>5329</v>
      </c>
      <c r="D8820">
        <v>70</v>
      </c>
    </row>
    <row r="8821" spans="1:4" x14ac:dyDescent="0.25">
      <c r="A8821" t="str">
        <f>T("   850440")</f>
        <v xml:space="preserve">   850440</v>
      </c>
      <c r="B8821" t="str">
        <f>T("   CONVERTISSEURS STATIQUES")</f>
        <v xml:space="preserve">   CONVERTISSEURS STATIQUES</v>
      </c>
      <c r="C8821">
        <v>811570</v>
      </c>
      <c r="D8821">
        <v>70</v>
      </c>
    </row>
    <row r="8822" spans="1:4" x14ac:dyDescent="0.25">
      <c r="A8822" t="str">
        <f>T("   850780")</f>
        <v xml:space="preserve">   850780</v>
      </c>
      <c r="B8822" t="str">
        <f>T("   Accumulateurs électriques (sauf hors d'usage et autres qu'au plomb, au nickel-cadmium ou au nickel-fer)")</f>
        <v xml:space="preserve">   Accumulateurs électriques (sauf hors d'usage et autres qu'au plomb, au nickel-cadmium ou au nickel-fer)</v>
      </c>
      <c r="C8822">
        <v>4401391</v>
      </c>
      <c r="D8822">
        <v>1636</v>
      </c>
    </row>
    <row r="8823" spans="1:4" x14ac:dyDescent="0.25">
      <c r="A8823" t="str">
        <f>T("   851770")</f>
        <v xml:space="preserve">   851770</v>
      </c>
      <c r="B8823"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8823">
        <v>8071597</v>
      </c>
      <c r="D8823">
        <v>192</v>
      </c>
    </row>
    <row r="8824" spans="1:4" x14ac:dyDescent="0.25">
      <c r="A8824" t="str">
        <f>T("   851790")</f>
        <v xml:space="preserve">   851790</v>
      </c>
      <c r="B8824" t="s">
        <v>483</v>
      </c>
      <c r="C8824">
        <v>4510684</v>
      </c>
      <c r="D8824">
        <v>75</v>
      </c>
    </row>
    <row r="8825" spans="1:4" x14ac:dyDescent="0.25">
      <c r="A8825" t="str">
        <f>T("   870421")</f>
        <v xml:space="preserve">   870421</v>
      </c>
      <c r="B8825" t="s">
        <v>512</v>
      </c>
      <c r="C8825">
        <v>11111380</v>
      </c>
      <c r="D8825">
        <v>1789</v>
      </c>
    </row>
    <row r="8826" spans="1:4" x14ac:dyDescent="0.25">
      <c r="A8826" t="str">
        <f>T("   901839")</f>
        <v xml:space="preserve">   901839</v>
      </c>
      <c r="B8826"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8826">
        <v>1896380</v>
      </c>
      <c r="D8826">
        <v>162</v>
      </c>
    </row>
    <row r="8827" spans="1:4" x14ac:dyDescent="0.25">
      <c r="A8827" t="str">
        <f>T("PL")</f>
        <v>PL</v>
      </c>
      <c r="B8827" t="str">
        <f>T("Pologne")</f>
        <v>Pologne</v>
      </c>
    </row>
    <row r="8828" spans="1:4" x14ac:dyDescent="0.25">
      <c r="A8828" t="str">
        <f>T("   ZZ_Total_Produit_SH6")</f>
        <v xml:space="preserve">   ZZ_Total_Produit_SH6</v>
      </c>
      <c r="B8828" t="str">
        <f>T("   ZZ_Total_Produit_SH6")</f>
        <v xml:space="preserve">   ZZ_Total_Produit_SH6</v>
      </c>
      <c r="C8828">
        <v>11283940582</v>
      </c>
      <c r="D8828">
        <v>19289102.100000001</v>
      </c>
    </row>
    <row r="8829" spans="1:4" x14ac:dyDescent="0.25">
      <c r="A8829" t="str">
        <f>T("   020712")</f>
        <v xml:space="preserve">   020712</v>
      </c>
      <c r="B8829" t="str">
        <f>T("   COQS ET POULES [DES ESPÈCES DOMESTIQUES], NON-DÉCOUPÉS EN MORCEAUX, CONGELÉS")</f>
        <v xml:space="preserve">   COQS ET POULES [DES ESPÈCES DOMESTIQUES], NON-DÉCOUPÉS EN MORCEAUX, CONGELÉS</v>
      </c>
      <c r="C8829">
        <v>80860939</v>
      </c>
      <c r="D8829">
        <v>128800</v>
      </c>
    </row>
    <row r="8830" spans="1:4" x14ac:dyDescent="0.25">
      <c r="A8830" t="str">
        <f>T("   020714")</f>
        <v xml:space="preserve">   020714</v>
      </c>
      <c r="B8830" t="str">
        <f>T("   Morceaux et abats comestibles de coqs et de poules [des espèces domestiques], congelés")</f>
        <v xml:space="preserve">   Morceaux et abats comestibles de coqs et de poules [des espèces domestiques], congelés</v>
      </c>
      <c r="C8830">
        <v>9174269529</v>
      </c>
      <c r="D8830">
        <v>14756416</v>
      </c>
    </row>
    <row r="8831" spans="1:4" x14ac:dyDescent="0.25">
      <c r="A8831" t="str">
        <f>T("   020727")</f>
        <v xml:space="preserve">   020727</v>
      </c>
      <c r="B8831" t="str">
        <f>T("   Morceaux et abats comestibles de dindes et dindons [des espèces domestiques], congelés")</f>
        <v xml:space="preserve">   Morceaux et abats comestibles de dindes et dindons [des espèces domestiques], congelés</v>
      </c>
      <c r="C8831">
        <v>1194480826</v>
      </c>
      <c r="D8831">
        <v>1924329</v>
      </c>
    </row>
    <row r="8832" spans="1:4" x14ac:dyDescent="0.25">
      <c r="A8832" t="str">
        <f>T("   040221")</f>
        <v xml:space="preserve">   040221</v>
      </c>
      <c r="B8832"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832">
        <v>35000059</v>
      </c>
      <c r="D8832">
        <v>12250</v>
      </c>
    </row>
    <row r="8833" spans="1:4" x14ac:dyDescent="0.25">
      <c r="A8833" t="str">
        <f>T("   190590")</f>
        <v xml:space="preserve">   190590</v>
      </c>
      <c r="B8833" t="s">
        <v>52</v>
      </c>
      <c r="C8833">
        <v>3243722</v>
      </c>
      <c r="D8833">
        <v>4561</v>
      </c>
    </row>
    <row r="8834" spans="1:4" x14ac:dyDescent="0.25">
      <c r="A8834" t="str">
        <f>T("   200540")</f>
        <v xml:space="preserve">   200540</v>
      </c>
      <c r="B8834" t="str">
        <f>T("   Pois [Pisum sativum], préparés ou conservés autrement qu'au vinaigre ou à l'acide acétique, non congelés")</f>
        <v xml:space="preserve">   Pois [Pisum sativum], préparés ou conservés autrement qu'au vinaigre ou à l'acide acétique, non congelés</v>
      </c>
      <c r="C8834">
        <v>3490000</v>
      </c>
      <c r="D8834">
        <v>18320</v>
      </c>
    </row>
    <row r="8835" spans="1:4" x14ac:dyDescent="0.25">
      <c r="A8835" t="str">
        <f>T("   220290")</f>
        <v xml:space="preserve">   220290</v>
      </c>
      <c r="B8835" t="str">
        <f>T("   BOISSONS NON-ALCOOLIQUES (À L'EXCL. DES EAUX, DES JUS DE FRUITS OU DE LÉGUMES AINSI QUE DU LAIT)")</f>
        <v xml:space="preserve">   BOISSONS NON-ALCOOLIQUES (À L'EXCL. DES EAUX, DES JUS DE FRUITS OU DE LÉGUMES AINSI QUE DU LAIT)</v>
      </c>
      <c r="C8835">
        <v>217784109</v>
      </c>
      <c r="D8835">
        <v>1216780</v>
      </c>
    </row>
    <row r="8836" spans="1:4" x14ac:dyDescent="0.25">
      <c r="A8836" t="str">
        <f>T("   220300")</f>
        <v xml:space="preserve">   220300</v>
      </c>
      <c r="B8836" t="str">
        <f>T("   Bières de malt")</f>
        <v xml:space="preserve">   Bières de malt</v>
      </c>
      <c r="C8836">
        <v>63654489</v>
      </c>
      <c r="D8836">
        <v>342674</v>
      </c>
    </row>
    <row r="8837" spans="1:4" x14ac:dyDescent="0.25">
      <c r="A8837" t="str">
        <f>T("   401220")</f>
        <v xml:space="preserve">   401220</v>
      </c>
      <c r="B8837" t="str">
        <f>T("   Pneumatiques usagés, en caoutchouc")</f>
        <v xml:space="preserve">   Pneumatiques usagés, en caoutchouc</v>
      </c>
      <c r="C8837">
        <v>10098000</v>
      </c>
      <c r="D8837">
        <v>40800</v>
      </c>
    </row>
    <row r="8838" spans="1:4" x14ac:dyDescent="0.25">
      <c r="A8838" t="str">
        <f>T("   401310")</f>
        <v xml:space="preserve">   401310</v>
      </c>
      <c r="B883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838">
        <v>750000</v>
      </c>
      <c r="D8838">
        <v>2700</v>
      </c>
    </row>
    <row r="8839" spans="1:4" x14ac:dyDescent="0.25">
      <c r="A8839" t="str">
        <f>T("   490199")</f>
        <v xml:space="preserve">   490199</v>
      </c>
      <c r="B883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839">
        <v>241696</v>
      </c>
      <c r="D8839">
        <v>28</v>
      </c>
    </row>
    <row r="8840" spans="1:4" x14ac:dyDescent="0.25">
      <c r="A8840" t="str">
        <f>T("   610910")</f>
        <v xml:space="preserve">   610910</v>
      </c>
      <c r="B8840" t="str">
        <f>T("   T-shirts et maillots de corps, en bonneterie, de coton,")</f>
        <v xml:space="preserve">   T-shirts et maillots de corps, en bonneterie, de coton,</v>
      </c>
      <c r="C8840">
        <v>525293</v>
      </c>
      <c r="D8840">
        <v>10</v>
      </c>
    </row>
    <row r="8841" spans="1:4" x14ac:dyDescent="0.25">
      <c r="A8841" t="str">
        <f>T("   630900")</f>
        <v xml:space="preserve">   630900</v>
      </c>
      <c r="B8841" t="s">
        <v>300</v>
      </c>
      <c r="C8841">
        <v>403429530</v>
      </c>
      <c r="D8841">
        <v>702698</v>
      </c>
    </row>
    <row r="8842" spans="1:4" x14ac:dyDescent="0.25">
      <c r="A8842" t="str">
        <f>T("   700529")</f>
        <v xml:space="preserve">   700529</v>
      </c>
      <c r="B8842" t="s">
        <v>343</v>
      </c>
      <c r="C8842">
        <v>16423554</v>
      </c>
      <c r="D8842">
        <v>40000</v>
      </c>
    </row>
    <row r="8843" spans="1:4" x14ac:dyDescent="0.25">
      <c r="A8843" t="str">
        <f>T("   841829")</f>
        <v xml:space="preserve">   841829</v>
      </c>
      <c r="B8843" t="str">
        <f>T("   Réfrigérateurs ménagers à absorption, non-électriques")</f>
        <v xml:space="preserve">   Réfrigérateurs ménagers à absorption, non-électriques</v>
      </c>
      <c r="C8843">
        <v>6734541</v>
      </c>
      <c r="D8843">
        <v>5040</v>
      </c>
    </row>
    <row r="8844" spans="1:4" x14ac:dyDescent="0.25">
      <c r="A8844" t="str">
        <f>T("   841899")</f>
        <v xml:space="preserve">   841899</v>
      </c>
      <c r="B8844"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844">
        <v>578527</v>
      </c>
      <c r="D8844">
        <v>6.3</v>
      </c>
    </row>
    <row r="8845" spans="1:4" x14ac:dyDescent="0.25">
      <c r="A8845" t="str">
        <f>T("   841940")</f>
        <v xml:space="preserve">   841940</v>
      </c>
      <c r="B8845" t="str">
        <f>T("   Appareils de distillation ou de rectification")</f>
        <v xml:space="preserve">   Appareils de distillation ou de rectification</v>
      </c>
      <c r="C8845">
        <v>3440510</v>
      </c>
      <c r="D8845">
        <v>140</v>
      </c>
    </row>
    <row r="8846" spans="1:4" x14ac:dyDescent="0.25">
      <c r="A8846" t="str">
        <f>T("   846591")</f>
        <v xml:space="preserve">   846591</v>
      </c>
      <c r="B8846" t="str">
        <f>T("   Machines à scier, pour le travail du bois, des matières plastiques dures, etc. (autres que pour emploi à la main)")</f>
        <v xml:space="preserve">   Machines à scier, pour le travail du bois, des matières plastiques dures, etc. (autres que pour emploi à la main)</v>
      </c>
      <c r="C8846">
        <v>7997726</v>
      </c>
      <c r="D8846">
        <v>6388</v>
      </c>
    </row>
    <row r="8847" spans="1:4" x14ac:dyDescent="0.25">
      <c r="A8847" t="str">
        <f>T("   851750")</f>
        <v xml:space="preserve">   851750</v>
      </c>
      <c r="B8847" t="s">
        <v>479</v>
      </c>
      <c r="C8847">
        <v>4233566</v>
      </c>
      <c r="D8847">
        <v>344.8</v>
      </c>
    </row>
    <row r="8848" spans="1:4" x14ac:dyDescent="0.25">
      <c r="A8848" t="str">
        <f>T("   852460")</f>
        <v xml:space="preserve">   852460</v>
      </c>
      <c r="B8848" t="str">
        <f>T("   Cartes munies d'une piste magnétique enregistrée")</f>
        <v xml:space="preserve">   Cartes munies d'une piste magnétique enregistrée</v>
      </c>
      <c r="C8848">
        <v>2354098</v>
      </c>
      <c r="D8848">
        <v>870</v>
      </c>
    </row>
    <row r="8849" spans="1:4" x14ac:dyDescent="0.25">
      <c r="A8849" t="str">
        <f>T("   853620")</f>
        <v xml:space="preserve">   853620</v>
      </c>
      <c r="B8849" t="str">
        <f>T("   Disjoncteurs, pour une tension &lt;= 1.000 V")</f>
        <v xml:space="preserve">   Disjoncteurs, pour une tension &lt;= 1.000 V</v>
      </c>
      <c r="C8849">
        <v>12568</v>
      </c>
      <c r="D8849">
        <v>2</v>
      </c>
    </row>
    <row r="8850" spans="1:4" x14ac:dyDescent="0.25">
      <c r="A8850" t="str">
        <f>T("   870120")</f>
        <v xml:space="preserve">   870120</v>
      </c>
      <c r="B8850" t="str">
        <f>T("   Tracteurs routiers pour semi-remorques")</f>
        <v xml:space="preserve">   Tracteurs routiers pour semi-remorques</v>
      </c>
      <c r="C8850">
        <v>24000000</v>
      </c>
      <c r="D8850">
        <v>55350</v>
      </c>
    </row>
    <row r="8851" spans="1:4" x14ac:dyDescent="0.25">
      <c r="A8851" t="str">
        <f>T("   870322")</f>
        <v xml:space="preserve">   870322</v>
      </c>
      <c r="B8851" t="s">
        <v>506</v>
      </c>
      <c r="C8851">
        <v>3600000</v>
      </c>
      <c r="D8851">
        <v>2950</v>
      </c>
    </row>
    <row r="8852" spans="1:4" x14ac:dyDescent="0.25">
      <c r="A8852" t="str">
        <f>T("   870323")</f>
        <v xml:space="preserve">   870323</v>
      </c>
      <c r="B8852" t="s">
        <v>507</v>
      </c>
      <c r="C8852">
        <v>13200000</v>
      </c>
      <c r="D8852">
        <v>10870</v>
      </c>
    </row>
    <row r="8853" spans="1:4" x14ac:dyDescent="0.25">
      <c r="A8853" t="str">
        <f>T("   870421")</f>
        <v xml:space="preserve">   870421</v>
      </c>
      <c r="B8853" t="s">
        <v>512</v>
      </c>
      <c r="C8853">
        <v>4800000</v>
      </c>
      <c r="D8853">
        <v>10140</v>
      </c>
    </row>
    <row r="8854" spans="1:4" x14ac:dyDescent="0.25">
      <c r="A8854" t="str">
        <f>T("   870423")</f>
        <v xml:space="preserve">   870423</v>
      </c>
      <c r="B8854" t="s">
        <v>514</v>
      </c>
      <c r="C8854">
        <v>6635742</v>
      </c>
      <c r="D8854">
        <v>6600</v>
      </c>
    </row>
    <row r="8855" spans="1:4" x14ac:dyDescent="0.25">
      <c r="A8855" t="str">
        <f>T("   902680")</f>
        <v xml:space="preserve">   902680</v>
      </c>
      <c r="B8855" t="str">
        <f>T("   Instruments et appareils pour la mesure et le contrôle des caractéristiques variables des liquides ou des gaz, n.d.a.")</f>
        <v xml:space="preserve">   Instruments et appareils pour la mesure et le contrôle des caractéristiques variables des liquides ou des gaz, n.d.a.</v>
      </c>
      <c r="C8855">
        <v>455092</v>
      </c>
      <c r="D8855">
        <v>6</v>
      </c>
    </row>
    <row r="8856" spans="1:4" x14ac:dyDescent="0.25">
      <c r="A8856" t="str">
        <f>T("   902690")</f>
        <v xml:space="preserve">   902690</v>
      </c>
      <c r="B8856"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8856">
        <v>191827</v>
      </c>
      <c r="D8856">
        <v>5</v>
      </c>
    </row>
    <row r="8857" spans="1:4" x14ac:dyDescent="0.25">
      <c r="A8857" t="str">
        <f>T("   903180")</f>
        <v xml:space="preserve">   903180</v>
      </c>
      <c r="B8857" t="str">
        <f>T("   INSTRUMENTS, APPAREILS ET MACHINES DE MESURE OU DE CONTRÔLE, NON-OPTIQUES, N.D.A. DANS LE PRÉSENT CHAPITRE")</f>
        <v xml:space="preserve">   INSTRUMENTS, APPAREILS ET MACHINES DE MESURE OU DE CONTRÔLE, NON-OPTIQUES, N.D.A. DANS LE PRÉSENT CHAPITRE</v>
      </c>
      <c r="C8857">
        <v>1454639</v>
      </c>
      <c r="D8857">
        <v>24</v>
      </c>
    </row>
    <row r="8858" spans="1:4" x14ac:dyDescent="0.25">
      <c r="A8858" t="str">
        <f>T("PR")</f>
        <v>PR</v>
      </c>
      <c r="B8858" t="str">
        <f>T("Porto Rico")</f>
        <v>Porto Rico</v>
      </c>
    </row>
    <row r="8859" spans="1:4" x14ac:dyDescent="0.25">
      <c r="A8859" t="str">
        <f>T("   ZZ_Total_Produit_SH6")</f>
        <v xml:space="preserve">   ZZ_Total_Produit_SH6</v>
      </c>
      <c r="B8859" t="str">
        <f>T("   ZZ_Total_Produit_SH6")</f>
        <v xml:space="preserve">   ZZ_Total_Produit_SH6</v>
      </c>
      <c r="C8859">
        <v>67000420</v>
      </c>
      <c r="D8859">
        <v>224829</v>
      </c>
    </row>
    <row r="8860" spans="1:4" x14ac:dyDescent="0.25">
      <c r="A8860" t="str">
        <f>T("   271011")</f>
        <v xml:space="preserve">   271011</v>
      </c>
      <c r="B886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860">
        <v>9455600</v>
      </c>
      <c r="D8860">
        <v>25076</v>
      </c>
    </row>
    <row r="8861" spans="1:4" x14ac:dyDescent="0.25">
      <c r="A8861" t="str">
        <f>T("   271019")</f>
        <v xml:space="preserve">   271019</v>
      </c>
      <c r="B8861" t="str">
        <f>T("   Huiles moyennes et préparations, de pétrole ou de minéraux bitumineux, n.d.a.")</f>
        <v xml:space="preserve">   Huiles moyennes et préparations, de pétrole ou de minéraux bitumineux, n.d.a.</v>
      </c>
      <c r="C8861">
        <v>57321750</v>
      </c>
      <c r="D8861">
        <v>199686</v>
      </c>
    </row>
    <row r="8862" spans="1:4" x14ac:dyDescent="0.25">
      <c r="A8862" t="str">
        <f>T("   392390")</f>
        <v xml:space="preserve">   392390</v>
      </c>
      <c r="B8862" t="s">
        <v>156</v>
      </c>
      <c r="C8862">
        <v>223070</v>
      </c>
      <c r="D8862">
        <v>67</v>
      </c>
    </row>
    <row r="8863" spans="1:4" x14ac:dyDescent="0.25">
      <c r="A8863" t="str">
        <f>T("PT")</f>
        <v>PT</v>
      </c>
      <c r="B8863" t="str">
        <f>T("Portugal")</f>
        <v>Portugal</v>
      </c>
    </row>
    <row r="8864" spans="1:4" x14ac:dyDescent="0.25">
      <c r="A8864" t="str">
        <f>T("   ZZ_Total_Produit_SH6")</f>
        <v xml:space="preserve">   ZZ_Total_Produit_SH6</v>
      </c>
      <c r="B8864" t="str">
        <f>T("   ZZ_Total_Produit_SH6")</f>
        <v xml:space="preserve">   ZZ_Total_Produit_SH6</v>
      </c>
      <c r="C8864">
        <v>3485389333</v>
      </c>
      <c r="D8864">
        <v>48516668</v>
      </c>
    </row>
    <row r="8865" spans="1:4" x14ac:dyDescent="0.25">
      <c r="A8865" t="str">
        <f>T("   020727")</f>
        <v xml:space="preserve">   020727</v>
      </c>
      <c r="B8865" t="str">
        <f>T("   Morceaux et abats comestibles de dindes et dindons [des espèces domestiques], congelés")</f>
        <v xml:space="preserve">   Morceaux et abats comestibles de dindes et dindons [des espèces domestiques], congelés</v>
      </c>
      <c r="C8865">
        <v>46650199</v>
      </c>
      <c r="D8865">
        <v>71738</v>
      </c>
    </row>
    <row r="8866" spans="1:4" x14ac:dyDescent="0.25">
      <c r="A8866" t="str">
        <f>T("   040120")</f>
        <v xml:space="preserve">   040120</v>
      </c>
      <c r="B8866"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8866">
        <v>53773</v>
      </c>
      <c r="D8866">
        <v>162</v>
      </c>
    </row>
    <row r="8867" spans="1:4" x14ac:dyDescent="0.25">
      <c r="A8867" t="str">
        <f>T("   040310")</f>
        <v xml:space="preserve">   040310</v>
      </c>
      <c r="B8867" t="str">
        <f>T("   Yoghourts, même additionnés de sucre ou d'autres édulcorants ou aromatisés ou additionnés de fruits ou de cacao")</f>
        <v xml:space="preserve">   Yoghourts, même additionnés de sucre ou d'autres édulcorants ou aromatisés ou additionnés de fruits ou de cacao</v>
      </c>
      <c r="C8867">
        <v>7469487</v>
      </c>
      <c r="D8867">
        <v>9048</v>
      </c>
    </row>
    <row r="8868" spans="1:4" x14ac:dyDescent="0.25">
      <c r="A8868" t="str">
        <f>T("   190590")</f>
        <v xml:space="preserve">   190590</v>
      </c>
      <c r="B8868" t="s">
        <v>52</v>
      </c>
      <c r="C8868">
        <v>4095841</v>
      </c>
      <c r="D8868">
        <v>2370</v>
      </c>
    </row>
    <row r="8869" spans="1:4" x14ac:dyDescent="0.25">
      <c r="A8869" t="str">
        <f>T("   200980")</f>
        <v xml:space="preserve">   200980</v>
      </c>
      <c r="B886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869">
        <v>1006565</v>
      </c>
      <c r="D8869">
        <v>3291</v>
      </c>
    </row>
    <row r="8870" spans="1:4" x14ac:dyDescent="0.25">
      <c r="A8870" t="str">
        <f>T("   200990")</f>
        <v xml:space="preserve">   200990</v>
      </c>
      <c r="B887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870">
        <v>8435546</v>
      </c>
      <c r="D8870">
        <v>43009</v>
      </c>
    </row>
    <row r="8871" spans="1:4" x14ac:dyDescent="0.25">
      <c r="A8871" t="str">
        <f>T("   210390")</f>
        <v xml:space="preserve">   210390</v>
      </c>
      <c r="B887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871">
        <v>9725000</v>
      </c>
      <c r="D8871">
        <v>21735</v>
      </c>
    </row>
    <row r="8872" spans="1:4" x14ac:dyDescent="0.25">
      <c r="A8872" t="str">
        <f>T("   220290")</f>
        <v xml:space="preserve">   220290</v>
      </c>
      <c r="B8872" t="str">
        <f>T("   BOISSONS NON-ALCOOLIQUES (À L'EXCL. DES EAUX, DES JUS DE FRUITS OU DE LÉGUMES AINSI QUE DU LAIT)")</f>
        <v xml:space="preserve">   BOISSONS NON-ALCOOLIQUES (À L'EXCL. DES EAUX, DES JUS DE FRUITS OU DE LÉGUMES AINSI QUE DU LAIT)</v>
      </c>
      <c r="C8872">
        <v>29055227</v>
      </c>
      <c r="D8872">
        <v>104549</v>
      </c>
    </row>
    <row r="8873" spans="1:4" x14ac:dyDescent="0.25">
      <c r="A8873" t="str">
        <f>T("   220421")</f>
        <v xml:space="preserve">   220421</v>
      </c>
      <c r="B8873"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8873">
        <v>865891</v>
      </c>
      <c r="D8873">
        <v>945</v>
      </c>
    </row>
    <row r="8874" spans="1:4" x14ac:dyDescent="0.25">
      <c r="A8874" t="str">
        <f>T("   220600")</f>
        <v xml:space="preserve">   220600</v>
      </c>
      <c r="B8874" t="s">
        <v>60</v>
      </c>
      <c r="C8874">
        <v>7022727</v>
      </c>
      <c r="D8874">
        <v>19166</v>
      </c>
    </row>
    <row r="8875" spans="1:4" x14ac:dyDescent="0.25">
      <c r="A8875" t="str">
        <f>T("   252310")</f>
        <v xml:space="preserve">   252310</v>
      </c>
      <c r="B8875" t="str">
        <f>T("   Ciments non pulvérisés dits 'clinkers'")</f>
        <v xml:space="preserve">   Ciments non pulvérisés dits 'clinkers'</v>
      </c>
      <c r="C8875">
        <v>1562864100</v>
      </c>
      <c r="D8875">
        <v>44653260</v>
      </c>
    </row>
    <row r="8876" spans="1:4" x14ac:dyDescent="0.25">
      <c r="A8876" t="str">
        <f>T("   390390")</f>
        <v xml:space="preserve">   390390</v>
      </c>
      <c r="B8876"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8876">
        <v>20466608</v>
      </c>
      <c r="D8876">
        <v>21000</v>
      </c>
    </row>
    <row r="8877" spans="1:4" x14ac:dyDescent="0.25">
      <c r="A8877" t="str">
        <f>T("   390410")</f>
        <v xml:space="preserve">   390410</v>
      </c>
      <c r="B8877" t="str">
        <f>T("   Poly[chlorure de vinyle], sous formes primaires, non mélangé à d'autres substances")</f>
        <v xml:space="preserve">   Poly[chlorure de vinyle], sous formes primaires, non mélangé à d'autres substances</v>
      </c>
      <c r="C8877">
        <v>31663189</v>
      </c>
      <c r="D8877">
        <v>78900</v>
      </c>
    </row>
    <row r="8878" spans="1:4" x14ac:dyDescent="0.25">
      <c r="A8878" t="str">
        <f>T("   391890")</f>
        <v xml:space="preserve">   391890</v>
      </c>
      <c r="B8878" t="s">
        <v>138</v>
      </c>
      <c r="C8878">
        <v>5998099</v>
      </c>
      <c r="D8878">
        <v>14100</v>
      </c>
    </row>
    <row r="8879" spans="1:4" x14ac:dyDescent="0.25">
      <c r="A8879" t="str">
        <f>T("   392690")</f>
        <v xml:space="preserve">   392690</v>
      </c>
      <c r="B8879" t="str">
        <f>T("   Ouvrages en matières plastiques et ouvrages en autres matières du n° 3901 à 3914, n.d.a.")</f>
        <v xml:space="preserve">   Ouvrages en matières plastiques et ouvrages en autres matières du n° 3901 à 3914, n.d.a.</v>
      </c>
      <c r="C8879">
        <v>10699311</v>
      </c>
      <c r="D8879">
        <v>870</v>
      </c>
    </row>
    <row r="8880" spans="1:4" x14ac:dyDescent="0.25">
      <c r="A8880" t="str">
        <f>T("   480256")</f>
        <v xml:space="preserve">   480256</v>
      </c>
      <c r="B8880" t="s">
        <v>207</v>
      </c>
      <c r="C8880">
        <v>37681639</v>
      </c>
      <c r="D8880">
        <v>121176</v>
      </c>
    </row>
    <row r="8881" spans="1:4" x14ac:dyDescent="0.25">
      <c r="A8881" t="str">
        <f>T("   480257")</f>
        <v xml:space="preserve">   480257</v>
      </c>
      <c r="B8881" t="s">
        <v>208</v>
      </c>
      <c r="C8881">
        <v>173918644</v>
      </c>
      <c r="D8881">
        <v>666468</v>
      </c>
    </row>
    <row r="8882" spans="1:4" x14ac:dyDescent="0.25">
      <c r="A8882" t="str">
        <f>T("   480269")</f>
        <v xml:space="preserve">   480269</v>
      </c>
      <c r="B8882" t="s">
        <v>208</v>
      </c>
      <c r="C8882">
        <v>21509925</v>
      </c>
      <c r="D8882">
        <v>40392</v>
      </c>
    </row>
    <row r="8883" spans="1:4" x14ac:dyDescent="0.25">
      <c r="A8883" t="str">
        <f>T("   482110")</f>
        <v xml:space="preserve">   482110</v>
      </c>
      <c r="B8883" t="str">
        <f>T("   ÉTIQUETTES DE TOUS GENRES, EN PAPIER OU EN CARTON, IMPRIMÉES")</f>
        <v xml:space="preserve">   ÉTIQUETTES DE TOUS GENRES, EN PAPIER OU EN CARTON, IMPRIMÉES</v>
      </c>
      <c r="C8883">
        <v>4661251</v>
      </c>
      <c r="D8883">
        <v>6193</v>
      </c>
    </row>
    <row r="8884" spans="1:4" x14ac:dyDescent="0.25">
      <c r="A8884" t="str">
        <f>T("   620319")</f>
        <v xml:space="preserve">   620319</v>
      </c>
      <c r="B8884" t="s">
        <v>288</v>
      </c>
      <c r="C8884">
        <v>1493688</v>
      </c>
      <c r="D8884">
        <v>583</v>
      </c>
    </row>
    <row r="8885" spans="1:4" x14ac:dyDescent="0.25">
      <c r="A8885" t="str">
        <f>T("   690510")</f>
        <v xml:space="preserve">   690510</v>
      </c>
      <c r="B8885" t="str">
        <f>T("   Tuiles")</f>
        <v xml:space="preserve">   Tuiles</v>
      </c>
      <c r="C8885">
        <v>37173610</v>
      </c>
      <c r="D8885">
        <v>351719</v>
      </c>
    </row>
    <row r="8886" spans="1:4" x14ac:dyDescent="0.25">
      <c r="A8886" t="str">
        <f>T("   690590")</f>
        <v xml:space="preserve">   690590</v>
      </c>
      <c r="B8886" t="s">
        <v>334</v>
      </c>
      <c r="C8886">
        <v>11421720</v>
      </c>
      <c r="D8886">
        <v>110802</v>
      </c>
    </row>
    <row r="8887" spans="1:4" x14ac:dyDescent="0.25">
      <c r="A8887" t="str">
        <f>T("   690890")</f>
        <v xml:space="preserve">   690890</v>
      </c>
      <c r="B8887" t="s">
        <v>336</v>
      </c>
      <c r="C8887">
        <v>225455491</v>
      </c>
      <c r="D8887">
        <v>1416935</v>
      </c>
    </row>
    <row r="8888" spans="1:4" x14ac:dyDescent="0.25">
      <c r="A8888" t="str">
        <f>T("   691090")</f>
        <v xml:space="preserve">   691090</v>
      </c>
      <c r="B8888" t="s">
        <v>339</v>
      </c>
      <c r="C8888">
        <v>3276898</v>
      </c>
      <c r="D8888">
        <v>14670</v>
      </c>
    </row>
    <row r="8889" spans="1:4" x14ac:dyDescent="0.25">
      <c r="A8889" t="str">
        <f>T("   701090")</f>
        <v xml:space="preserve">   701090</v>
      </c>
      <c r="B8889" t="s">
        <v>348</v>
      </c>
      <c r="C8889">
        <v>235649696</v>
      </c>
      <c r="D8889">
        <v>501468</v>
      </c>
    </row>
    <row r="8890" spans="1:4" x14ac:dyDescent="0.25">
      <c r="A8890" t="str">
        <f>T("   731100")</f>
        <v xml:space="preserve">   731100</v>
      </c>
      <c r="B8890"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890">
        <v>148725810</v>
      </c>
      <c r="D8890">
        <v>98300</v>
      </c>
    </row>
    <row r="8891" spans="1:4" x14ac:dyDescent="0.25">
      <c r="A8891" t="str">
        <f>T("   732410")</f>
        <v xml:space="preserve">   732410</v>
      </c>
      <c r="B8891" t="str">
        <f>T("   ÉVIERS ET LAVABOS EN ACIER INOXYDABLE")</f>
        <v xml:space="preserve">   ÉVIERS ET LAVABOS EN ACIER INOXYDABLE</v>
      </c>
      <c r="C8891">
        <v>4183975</v>
      </c>
      <c r="D8891">
        <v>525</v>
      </c>
    </row>
    <row r="8892" spans="1:4" x14ac:dyDescent="0.25">
      <c r="A8892" t="str">
        <f>T("   842290")</f>
        <v xml:space="preserve">   842290</v>
      </c>
      <c r="B889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892">
        <v>6999026</v>
      </c>
      <c r="D8892">
        <v>207</v>
      </c>
    </row>
    <row r="8893" spans="1:4" x14ac:dyDescent="0.25">
      <c r="A8893" t="str">
        <f>T("   842389")</f>
        <v xml:space="preserve">   842389</v>
      </c>
      <c r="B8893" t="str">
        <f>T("   Appareils et instruments de pesage, portée &gt; 5000 kg")</f>
        <v xml:space="preserve">   Appareils et instruments de pesage, portée &gt; 5000 kg</v>
      </c>
      <c r="C8893">
        <v>22630620</v>
      </c>
      <c r="D8893">
        <v>11215</v>
      </c>
    </row>
    <row r="8894" spans="1:4" x14ac:dyDescent="0.25">
      <c r="A8894" t="str">
        <f>T("   847420")</f>
        <v xml:space="preserve">   847420</v>
      </c>
      <c r="B8894" t="str">
        <f>T("   Machines et appareils à concasser, broyer ou pulvériser les matières minérales solides")</f>
        <v xml:space="preserve">   Machines et appareils à concasser, broyer ou pulvériser les matières minérales solides</v>
      </c>
      <c r="C8894">
        <v>720835754</v>
      </c>
      <c r="D8894">
        <v>64669</v>
      </c>
    </row>
    <row r="8895" spans="1:4" x14ac:dyDescent="0.25">
      <c r="A8895" t="str">
        <f>T("   850212")</f>
        <v xml:space="preserve">   850212</v>
      </c>
      <c r="B889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895">
        <v>39229031</v>
      </c>
      <c r="D8895">
        <v>8927</v>
      </c>
    </row>
    <row r="8896" spans="1:4" x14ac:dyDescent="0.25">
      <c r="A8896" t="str">
        <f>T("   853650")</f>
        <v xml:space="preserve">   853650</v>
      </c>
      <c r="B8896" t="str">
        <f>T("   Interrupteurs, sectionneurs et commutateurs, pour une tension &lt;= 1.000 V (autres que relais et disjoncteurs)")</f>
        <v xml:space="preserve">   Interrupteurs, sectionneurs et commutateurs, pour une tension &lt;= 1.000 V (autres que relais et disjoncteurs)</v>
      </c>
      <c r="C8896">
        <v>9830699</v>
      </c>
      <c r="D8896">
        <v>6996</v>
      </c>
    </row>
    <row r="8897" spans="1:4" x14ac:dyDescent="0.25">
      <c r="A8897" t="str">
        <f>T("   870120")</f>
        <v xml:space="preserve">   870120</v>
      </c>
      <c r="B8897" t="str">
        <f>T("   Tracteurs routiers pour semi-remorques")</f>
        <v xml:space="preserve">   Tracteurs routiers pour semi-remorques</v>
      </c>
      <c r="C8897">
        <v>6000000</v>
      </c>
      <c r="D8897">
        <v>12250</v>
      </c>
    </row>
    <row r="8898" spans="1:4" x14ac:dyDescent="0.25">
      <c r="A8898" t="str">
        <f>T("   870322")</f>
        <v xml:space="preserve">   870322</v>
      </c>
      <c r="B8898" t="s">
        <v>506</v>
      </c>
      <c r="C8898">
        <v>2400000</v>
      </c>
      <c r="D8898">
        <v>3000</v>
      </c>
    </row>
    <row r="8899" spans="1:4" x14ac:dyDescent="0.25">
      <c r="A8899" t="str">
        <f>T("   870421")</f>
        <v xml:space="preserve">   870421</v>
      </c>
      <c r="B8899" t="s">
        <v>512</v>
      </c>
      <c r="C8899">
        <v>4800000</v>
      </c>
      <c r="D8899">
        <v>4450</v>
      </c>
    </row>
    <row r="8900" spans="1:4" x14ac:dyDescent="0.25">
      <c r="A8900" t="str">
        <f>T("   870422")</f>
        <v xml:space="preserve">   870422</v>
      </c>
      <c r="B8900" t="s">
        <v>513</v>
      </c>
      <c r="C8900">
        <v>12240293</v>
      </c>
      <c r="D8900">
        <v>5900</v>
      </c>
    </row>
    <row r="8901" spans="1:4" x14ac:dyDescent="0.25">
      <c r="A8901" t="str">
        <f>T("   870431")</f>
        <v xml:space="preserve">   870431</v>
      </c>
      <c r="B8901" t="s">
        <v>515</v>
      </c>
      <c r="C8901">
        <v>1200000</v>
      </c>
      <c r="D8901">
        <v>1050</v>
      </c>
    </row>
    <row r="8902" spans="1:4" x14ac:dyDescent="0.25">
      <c r="A8902" t="str">
        <f>T("   871640")</f>
        <v xml:space="preserve">   871640</v>
      </c>
      <c r="B890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902">
        <v>8000000</v>
      </c>
      <c r="D8902">
        <v>24630</v>
      </c>
    </row>
    <row r="8903" spans="1:4" x14ac:dyDescent="0.25">
      <c r="A8903" t="str">
        <f>T("QA")</f>
        <v>QA</v>
      </c>
      <c r="B8903" t="str">
        <f>T("Qatar")</f>
        <v>Qatar</v>
      </c>
    </row>
    <row r="8904" spans="1:4" x14ac:dyDescent="0.25">
      <c r="A8904" t="str">
        <f>T("   ZZ_Total_Produit_SH6")</f>
        <v xml:space="preserve">   ZZ_Total_Produit_SH6</v>
      </c>
      <c r="B8904" t="str">
        <f>T("   ZZ_Total_Produit_SH6")</f>
        <v xml:space="preserve">   ZZ_Total_Produit_SH6</v>
      </c>
      <c r="C8904">
        <v>271757035</v>
      </c>
      <c r="D8904">
        <v>114728</v>
      </c>
    </row>
    <row r="8905" spans="1:4" x14ac:dyDescent="0.25">
      <c r="A8905" t="str">
        <f>T("   390110")</f>
        <v xml:space="preserve">   390110</v>
      </c>
      <c r="B8905" t="str">
        <f>T("   Polyéthylène d'une densité &lt; 0,94, sous formes primaires")</f>
        <v xml:space="preserve">   Polyéthylène d'une densité &lt; 0,94, sous formes primaires</v>
      </c>
      <c r="C8905">
        <v>26406982</v>
      </c>
      <c r="D8905">
        <v>67880</v>
      </c>
    </row>
    <row r="8906" spans="1:4" x14ac:dyDescent="0.25">
      <c r="A8906" t="str">
        <f>T("   390120")</f>
        <v xml:space="preserve">   390120</v>
      </c>
      <c r="B8906" t="str">
        <f>T("   Polyéthylène d'une densité &gt;= 0,94, sous formes primaires")</f>
        <v xml:space="preserve">   Polyéthylène d'une densité &gt;= 0,94, sous formes primaires</v>
      </c>
      <c r="C8906">
        <v>14281151</v>
      </c>
      <c r="D8906">
        <v>17350</v>
      </c>
    </row>
    <row r="8907" spans="1:4" x14ac:dyDescent="0.25">
      <c r="A8907" t="str">
        <f>T("   401220")</f>
        <v xml:space="preserve">   401220</v>
      </c>
      <c r="B8907" t="str">
        <f>T("   Pneumatiques usagés, en caoutchouc")</f>
        <v xml:space="preserve">   Pneumatiques usagés, en caoutchouc</v>
      </c>
      <c r="C8907">
        <v>500000</v>
      </c>
      <c r="D8907">
        <v>350</v>
      </c>
    </row>
    <row r="8908" spans="1:4" x14ac:dyDescent="0.25">
      <c r="A8908" t="str">
        <f>T("   490199")</f>
        <v xml:space="preserve">   490199</v>
      </c>
      <c r="B890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908">
        <v>800000</v>
      </c>
      <c r="D8908">
        <v>850</v>
      </c>
    </row>
    <row r="8909" spans="1:4" x14ac:dyDescent="0.25">
      <c r="A8909" t="str">
        <f>T("   620590")</f>
        <v xml:space="preserve">   620590</v>
      </c>
      <c r="B890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909">
        <v>1000000</v>
      </c>
      <c r="D8909">
        <v>1900</v>
      </c>
    </row>
    <row r="8910" spans="1:4" x14ac:dyDescent="0.25">
      <c r="A8910" t="str">
        <f>T("   630900")</f>
        <v xml:space="preserve">   630900</v>
      </c>
      <c r="B8910" t="s">
        <v>300</v>
      </c>
      <c r="C8910">
        <v>2500000</v>
      </c>
      <c r="D8910">
        <v>1000</v>
      </c>
    </row>
    <row r="8911" spans="1:4" x14ac:dyDescent="0.25">
      <c r="A8911" t="str">
        <f>T("   732394")</f>
        <v xml:space="preserve">   732394</v>
      </c>
      <c r="B8911" t="s">
        <v>389</v>
      </c>
      <c r="C8911">
        <v>700000</v>
      </c>
      <c r="D8911">
        <v>1500</v>
      </c>
    </row>
    <row r="8912" spans="1:4" x14ac:dyDescent="0.25">
      <c r="A8912" t="str">
        <f>T("   732690")</f>
        <v xml:space="preserve">   732690</v>
      </c>
      <c r="B891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912">
        <v>500000</v>
      </c>
      <c r="D8912">
        <v>300</v>
      </c>
    </row>
    <row r="8913" spans="1:4" x14ac:dyDescent="0.25">
      <c r="A8913" t="str">
        <f>T("   761699")</f>
        <v xml:space="preserve">   761699</v>
      </c>
      <c r="B8913" t="str">
        <f>T("   Ouvrages en aluminium, n.d.a.")</f>
        <v xml:space="preserve">   Ouvrages en aluminium, n.d.a.</v>
      </c>
      <c r="C8913">
        <v>1000000</v>
      </c>
      <c r="D8913">
        <v>350</v>
      </c>
    </row>
    <row r="8914" spans="1:4" x14ac:dyDescent="0.25">
      <c r="A8914" t="str">
        <f>T("   821191")</f>
        <v xml:space="preserve">   821191</v>
      </c>
      <c r="B8914" t="str">
        <f>T("   Couteaux de table à lame fixe, en métaux communs, y.c. les manches (sauf couteaux à beurre et couteaux à poisson)")</f>
        <v xml:space="preserve">   Couteaux de table à lame fixe, en métaux communs, y.c. les manches (sauf couteaux à beurre et couteaux à poisson)</v>
      </c>
      <c r="C8914">
        <v>1000000</v>
      </c>
      <c r="D8914">
        <v>400</v>
      </c>
    </row>
    <row r="8915" spans="1:4" x14ac:dyDescent="0.25">
      <c r="A8915" t="str">
        <f>T("   841810")</f>
        <v xml:space="preserve">   841810</v>
      </c>
      <c r="B8915" t="str">
        <f>T("   Réfrigérateurs et congélateurs-conservateurs combinés, avec portes extérieures séparées")</f>
        <v xml:space="preserve">   Réfrigérateurs et congélateurs-conservateurs combinés, avec portes extérieures séparées</v>
      </c>
      <c r="C8915">
        <v>1500000</v>
      </c>
      <c r="D8915">
        <v>500</v>
      </c>
    </row>
    <row r="8916" spans="1:4" x14ac:dyDescent="0.25">
      <c r="A8916" t="str">
        <f>T("   853929")</f>
        <v xml:space="preserve">   853929</v>
      </c>
      <c r="B891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916">
        <v>1500000</v>
      </c>
      <c r="D8916">
        <v>600</v>
      </c>
    </row>
    <row r="8917" spans="1:4" x14ac:dyDescent="0.25">
      <c r="A8917" t="str">
        <f>T("   870324")</f>
        <v xml:space="preserve">   870324</v>
      </c>
      <c r="B8917" t="s">
        <v>508</v>
      </c>
      <c r="C8917">
        <v>178810806</v>
      </c>
      <c r="D8917">
        <v>12000</v>
      </c>
    </row>
    <row r="8918" spans="1:4" x14ac:dyDescent="0.25">
      <c r="A8918" t="str">
        <f>T("   870333")</f>
        <v xml:space="preserve">   870333</v>
      </c>
      <c r="B8918" t="s">
        <v>511</v>
      </c>
      <c r="C8918">
        <v>23578854</v>
      </c>
      <c r="D8918">
        <v>2448</v>
      </c>
    </row>
    <row r="8919" spans="1:4" x14ac:dyDescent="0.25">
      <c r="A8919" t="str">
        <f>T("   870421")</f>
        <v xml:space="preserve">   870421</v>
      </c>
      <c r="B8919" t="s">
        <v>512</v>
      </c>
      <c r="C8919">
        <v>14179242</v>
      </c>
      <c r="D8919">
        <v>3000</v>
      </c>
    </row>
    <row r="8920" spans="1:4" x14ac:dyDescent="0.25">
      <c r="A8920" t="str">
        <f>T("   940350")</f>
        <v xml:space="preserve">   940350</v>
      </c>
      <c r="B8920" t="str">
        <f>T("   Meubles pour chambres à coucher, en bois (sauf sièges)")</f>
        <v xml:space="preserve">   Meubles pour chambres à coucher, en bois (sauf sièges)</v>
      </c>
      <c r="C8920">
        <v>2000000</v>
      </c>
      <c r="D8920">
        <v>3500</v>
      </c>
    </row>
    <row r="8921" spans="1:4" x14ac:dyDescent="0.25">
      <c r="A8921" t="str">
        <f>T("   940389")</f>
        <v xml:space="preserve">   940389</v>
      </c>
      <c r="B8921"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8921">
        <v>1500000</v>
      </c>
      <c r="D8921">
        <v>800</v>
      </c>
    </row>
    <row r="8922" spans="1:4" x14ac:dyDescent="0.25">
      <c r="A8922" t="str">
        <f>T("RE")</f>
        <v>RE</v>
      </c>
      <c r="B8922" t="str">
        <f>T("Réunion")</f>
        <v>Réunion</v>
      </c>
    </row>
    <row r="8923" spans="1:4" x14ac:dyDescent="0.25">
      <c r="A8923" t="str">
        <f>T("   ZZ_Total_Produit_SH6")</f>
        <v xml:space="preserve">   ZZ_Total_Produit_SH6</v>
      </c>
      <c r="B8923" t="str">
        <f>T("   ZZ_Total_Produit_SH6")</f>
        <v xml:space="preserve">   ZZ_Total_Produit_SH6</v>
      </c>
      <c r="C8923">
        <v>1393508</v>
      </c>
      <c r="D8923">
        <v>40</v>
      </c>
    </row>
    <row r="8924" spans="1:4" x14ac:dyDescent="0.25">
      <c r="A8924" t="str">
        <f>T("   490290")</f>
        <v xml:space="preserve">   490290</v>
      </c>
      <c r="B8924"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8924">
        <v>1393508</v>
      </c>
      <c r="D8924">
        <v>40</v>
      </c>
    </row>
    <row r="8925" spans="1:4" x14ac:dyDescent="0.25">
      <c r="A8925" t="str">
        <f>T("RO")</f>
        <v>RO</v>
      </c>
      <c r="B8925" t="str">
        <f>T("Roumanie")</f>
        <v>Roumanie</v>
      </c>
    </row>
    <row r="8926" spans="1:4" x14ac:dyDescent="0.25">
      <c r="A8926" t="str">
        <f>T("   ZZ_Total_Produit_SH6")</f>
        <v xml:space="preserve">   ZZ_Total_Produit_SH6</v>
      </c>
      <c r="B8926" t="str">
        <f>T("   ZZ_Total_Produit_SH6")</f>
        <v xml:space="preserve">   ZZ_Total_Produit_SH6</v>
      </c>
      <c r="C8926">
        <v>56041432</v>
      </c>
      <c r="D8926">
        <v>10947.95</v>
      </c>
    </row>
    <row r="8927" spans="1:4" x14ac:dyDescent="0.25">
      <c r="A8927" t="str">
        <f>T("   401110")</f>
        <v xml:space="preserve">   401110</v>
      </c>
      <c r="B892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927">
        <v>39211320</v>
      </c>
      <c r="D8927">
        <v>10327</v>
      </c>
    </row>
    <row r="8928" spans="1:4" x14ac:dyDescent="0.25">
      <c r="A8928" t="str">
        <f>T("   401693")</f>
        <v xml:space="preserve">   401693</v>
      </c>
      <c r="B8928" t="str">
        <f>T("   Joints en caoutchouc vulcanisé non durci (à l'excl. des articles en caoutchouc alvéolaire)")</f>
        <v xml:space="preserve">   Joints en caoutchouc vulcanisé non durci (à l'excl. des articles en caoutchouc alvéolaire)</v>
      </c>
      <c r="C8928">
        <v>1746984</v>
      </c>
      <c r="D8928">
        <v>12.32</v>
      </c>
    </row>
    <row r="8929" spans="1:4" x14ac:dyDescent="0.25">
      <c r="A8929" t="str">
        <f>T("   420212")</f>
        <v xml:space="preserve">   420212</v>
      </c>
      <c r="B8929"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8929">
        <v>880954</v>
      </c>
      <c r="D8929">
        <v>146</v>
      </c>
    </row>
    <row r="8930" spans="1:4" x14ac:dyDescent="0.25">
      <c r="A8930" t="str">
        <f>T("   441510")</f>
        <v xml:space="preserve">   441510</v>
      </c>
      <c r="B8930" t="str">
        <f>T("   Caisses, caissettes, cageots, cylindres et emballages simil., en bois; tambours [tourets] pour câbles, en bois")</f>
        <v xml:space="preserve">   Caisses, caissettes, cageots, cylindres et emballages simil., en bois; tambours [tourets] pour câbles, en bois</v>
      </c>
      <c r="C8930">
        <v>528704</v>
      </c>
      <c r="D8930">
        <v>87</v>
      </c>
    </row>
    <row r="8931" spans="1:4" x14ac:dyDescent="0.25">
      <c r="A8931" t="str">
        <f>T("   490199")</f>
        <v xml:space="preserve">   490199</v>
      </c>
      <c r="B893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931">
        <v>1270595</v>
      </c>
      <c r="D8931">
        <v>18</v>
      </c>
    </row>
    <row r="8932" spans="1:4" x14ac:dyDescent="0.25">
      <c r="A8932" t="str">
        <f>T("   841350")</f>
        <v xml:space="preserve">   841350</v>
      </c>
      <c r="B8932" t="s">
        <v>417</v>
      </c>
      <c r="C8932">
        <v>10688852</v>
      </c>
      <c r="D8932">
        <v>75.63</v>
      </c>
    </row>
    <row r="8933" spans="1:4" x14ac:dyDescent="0.25">
      <c r="A8933" t="str">
        <f>T("   847290")</f>
        <v xml:space="preserve">   847290</v>
      </c>
      <c r="B8933" t="str">
        <f>T("   Machines et appareils de bureau, n.d.a.")</f>
        <v xml:space="preserve">   Machines et appareils de bureau, n.d.a.</v>
      </c>
      <c r="C8933">
        <v>291246</v>
      </c>
      <c r="D8933">
        <v>14</v>
      </c>
    </row>
    <row r="8934" spans="1:4" x14ac:dyDescent="0.25">
      <c r="A8934" t="str">
        <f>T("   961000")</f>
        <v xml:space="preserve">   961000</v>
      </c>
      <c r="B8934" t="str">
        <f>T("   Ardoises et tableaux pour l'écriture ou le dessin, même encadrés")</f>
        <v xml:space="preserve">   Ardoises et tableaux pour l'écriture ou le dessin, même encadrés</v>
      </c>
      <c r="C8934">
        <v>1422777</v>
      </c>
      <c r="D8934">
        <v>268</v>
      </c>
    </row>
    <row r="8935" spans="1:4" x14ac:dyDescent="0.25">
      <c r="A8935" t="str">
        <f>T("RU")</f>
        <v>RU</v>
      </c>
      <c r="B8935" t="str">
        <f>T("Russie, Fédération de")</f>
        <v>Russie, Fédération de</v>
      </c>
    </row>
    <row r="8936" spans="1:4" x14ac:dyDescent="0.25">
      <c r="A8936" t="str">
        <f>T("   ZZ_Total_Produit_SH6")</f>
        <v xml:space="preserve">   ZZ_Total_Produit_SH6</v>
      </c>
      <c r="B8936" t="str">
        <f>T("   ZZ_Total_Produit_SH6")</f>
        <v xml:space="preserve">   ZZ_Total_Produit_SH6</v>
      </c>
      <c r="C8936">
        <v>1528522853</v>
      </c>
      <c r="D8936">
        <v>4295135.0999999996</v>
      </c>
    </row>
    <row r="8937" spans="1:4" x14ac:dyDescent="0.25">
      <c r="A8937" t="str">
        <f>T("   030379")</f>
        <v xml:space="preserve">   030379</v>
      </c>
      <c r="B8937" t="s">
        <v>16</v>
      </c>
      <c r="C8937">
        <v>112504500</v>
      </c>
      <c r="D8937">
        <v>500020</v>
      </c>
    </row>
    <row r="8938" spans="1:4" x14ac:dyDescent="0.25">
      <c r="A8938" t="str">
        <f>T("   271019")</f>
        <v xml:space="preserve">   271019</v>
      </c>
      <c r="B8938" t="str">
        <f>T("   Huiles moyennes et préparations, de pétrole ou de minéraux bitumineux, n.d.a.")</f>
        <v xml:space="preserve">   Huiles moyennes et préparations, de pétrole ou de minéraux bitumineux, n.d.a.</v>
      </c>
      <c r="C8938">
        <v>1159348108</v>
      </c>
      <c r="D8938">
        <v>3753946</v>
      </c>
    </row>
    <row r="8939" spans="1:4" x14ac:dyDescent="0.25">
      <c r="A8939" t="str">
        <f>T("   480220")</f>
        <v xml:space="preserve">   480220</v>
      </c>
      <c r="B8939"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8939">
        <v>1101619</v>
      </c>
      <c r="D8939">
        <v>157</v>
      </c>
    </row>
    <row r="8940" spans="1:4" x14ac:dyDescent="0.25">
      <c r="A8940" t="str">
        <f>T("   620590")</f>
        <v xml:space="preserve">   620590</v>
      </c>
      <c r="B894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940">
        <v>2050000</v>
      </c>
      <c r="D8940">
        <v>2300</v>
      </c>
    </row>
    <row r="8941" spans="1:4" x14ac:dyDescent="0.25">
      <c r="A8941" t="str">
        <f>T("   732394")</f>
        <v xml:space="preserve">   732394</v>
      </c>
      <c r="B8941" t="s">
        <v>389</v>
      </c>
      <c r="C8941">
        <v>1250000</v>
      </c>
      <c r="D8941">
        <v>1250</v>
      </c>
    </row>
    <row r="8942" spans="1:4" x14ac:dyDescent="0.25">
      <c r="A8942" t="str">
        <f>T("   732690")</f>
        <v xml:space="preserve">   732690</v>
      </c>
      <c r="B894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942">
        <v>12745697</v>
      </c>
      <c r="D8942">
        <v>573</v>
      </c>
    </row>
    <row r="8943" spans="1:4" x14ac:dyDescent="0.25">
      <c r="A8943" t="str">
        <f>T("   761090")</f>
        <v xml:space="preserve">   761090</v>
      </c>
      <c r="B8943"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8943">
        <v>496199</v>
      </c>
      <c r="D8943">
        <v>218</v>
      </c>
    </row>
    <row r="8944" spans="1:4" x14ac:dyDescent="0.25">
      <c r="A8944" t="str">
        <f>T("   842389")</f>
        <v xml:space="preserve">   842389</v>
      </c>
      <c r="B8944" t="str">
        <f>T("   Appareils et instruments de pesage, portée &gt; 5000 kg")</f>
        <v xml:space="preserve">   Appareils et instruments de pesage, portée &gt; 5000 kg</v>
      </c>
      <c r="C8944">
        <v>708437</v>
      </c>
      <c r="D8944">
        <v>25</v>
      </c>
    </row>
    <row r="8945" spans="1:4" x14ac:dyDescent="0.25">
      <c r="A8945" t="str">
        <f>T("   847190")</f>
        <v xml:space="preserve">   847190</v>
      </c>
      <c r="B894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945">
        <v>2576398</v>
      </c>
      <c r="D8945">
        <v>342</v>
      </c>
    </row>
    <row r="8946" spans="1:4" x14ac:dyDescent="0.25">
      <c r="A8946" t="str">
        <f>T("   847790")</f>
        <v xml:space="preserve">   847790</v>
      </c>
      <c r="B8946"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8946">
        <v>783872</v>
      </c>
      <c r="D8946">
        <v>319</v>
      </c>
    </row>
    <row r="8947" spans="1:4" x14ac:dyDescent="0.25">
      <c r="A8947" t="str">
        <f>T("   850440")</f>
        <v xml:space="preserve">   850440</v>
      </c>
      <c r="B8947" t="str">
        <f>T("   CONVERTISSEURS STATIQUES")</f>
        <v xml:space="preserve">   CONVERTISSEURS STATIQUES</v>
      </c>
      <c r="C8947">
        <v>1347261</v>
      </c>
      <c r="D8947">
        <v>7</v>
      </c>
    </row>
    <row r="8948" spans="1:4" x14ac:dyDescent="0.25">
      <c r="A8948" t="str">
        <f>T("   851718")</f>
        <v xml:space="preserve">   851718</v>
      </c>
      <c r="B8948"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8948">
        <v>82269882</v>
      </c>
      <c r="D8948">
        <v>429</v>
      </c>
    </row>
    <row r="8949" spans="1:4" x14ac:dyDescent="0.25">
      <c r="A8949" t="str">
        <f>T("   851762")</f>
        <v xml:space="preserve">   851762</v>
      </c>
      <c r="B8949" t="s">
        <v>480</v>
      </c>
      <c r="C8949">
        <v>465035</v>
      </c>
      <c r="D8949">
        <v>34.5</v>
      </c>
    </row>
    <row r="8950" spans="1:4" x14ac:dyDescent="0.25">
      <c r="A8950" t="str">
        <f>T("   851769")</f>
        <v xml:space="preserve">   851769</v>
      </c>
      <c r="B8950" t="s">
        <v>481</v>
      </c>
      <c r="C8950">
        <v>1429051</v>
      </c>
      <c r="D8950">
        <v>168</v>
      </c>
    </row>
    <row r="8951" spans="1:4" x14ac:dyDescent="0.25">
      <c r="A8951" t="str">
        <f>T("   852321")</f>
        <v xml:space="preserve">   852321</v>
      </c>
      <c r="B8951" t="str">
        <f>T("   CARTES MUNIES D'UNE PISTE MAGNÉTIQUE POUR L'ENREGISTREMENT DU SON OU POUR ENREGISTREMENTS ANALOGUES")</f>
        <v xml:space="preserve">   CARTES MUNIES D'UNE PISTE MAGNÉTIQUE POUR L'ENREGISTREMENT DU SON OU POUR ENREGISTREMENTS ANALOGUES</v>
      </c>
      <c r="C8951">
        <v>6745317</v>
      </c>
      <c r="D8951">
        <v>36</v>
      </c>
    </row>
    <row r="8952" spans="1:4" x14ac:dyDescent="0.25">
      <c r="A8952" t="str">
        <f>T("   854470")</f>
        <v xml:space="preserve">   854470</v>
      </c>
      <c r="B8952"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8952">
        <v>1858709</v>
      </c>
      <c r="D8952">
        <v>67.599999999999994</v>
      </c>
    </row>
    <row r="8953" spans="1:4" x14ac:dyDescent="0.25">
      <c r="A8953" t="str">
        <f>T("   870290")</f>
        <v xml:space="preserve">   870290</v>
      </c>
      <c r="B8953" t="s">
        <v>504</v>
      </c>
      <c r="C8953">
        <v>136142768</v>
      </c>
      <c r="D8953">
        <v>29693</v>
      </c>
    </row>
    <row r="8954" spans="1:4" x14ac:dyDescent="0.25">
      <c r="A8954" t="str">
        <f>T("   940350")</f>
        <v xml:space="preserve">   940350</v>
      </c>
      <c r="B8954" t="str">
        <f>T("   Meubles pour chambres à coucher, en bois (sauf sièges)")</f>
        <v xml:space="preserve">   Meubles pour chambres à coucher, en bois (sauf sièges)</v>
      </c>
      <c r="C8954">
        <v>4700000</v>
      </c>
      <c r="D8954">
        <v>5550</v>
      </c>
    </row>
    <row r="8955" spans="1:4" x14ac:dyDescent="0.25">
      <c r="A8955" t="str">
        <f>T("RW")</f>
        <v>RW</v>
      </c>
      <c r="B8955" t="str">
        <f>T("Rwanda")</f>
        <v>Rwanda</v>
      </c>
    </row>
    <row r="8956" spans="1:4" x14ac:dyDescent="0.25">
      <c r="A8956" t="str">
        <f>T("   ZZ_Total_Produit_SH6")</f>
        <v xml:space="preserve">   ZZ_Total_Produit_SH6</v>
      </c>
      <c r="B8956" t="str">
        <f>T("   ZZ_Total_Produit_SH6")</f>
        <v xml:space="preserve">   ZZ_Total_Produit_SH6</v>
      </c>
      <c r="C8956">
        <v>5950000</v>
      </c>
      <c r="D8956">
        <v>3011.7</v>
      </c>
    </row>
    <row r="8957" spans="1:4" x14ac:dyDescent="0.25">
      <c r="A8957" t="str">
        <f>T("   620349")</f>
        <v xml:space="preserve">   620349</v>
      </c>
      <c r="B8957" t="s">
        <v>289</v>
      </c>
      <c r="C8957">
        <v>2700000</v>
      </c>
      <c r="D8957">
        <v>769.7</v>
      </c>
    </row>
    <row r="8958" spans="1:4" x14ac:dyDescent="0.25">
      <c r="A8958" t="str">
        <f>T("   732399")</f>
        <v xml:space="preserve">   732399</v>
      </c>
      <c r="B8958" t="s">
        <v>390</v>
      </c>
      <c r="C8958">
        <v>600000</v>
      </c>
      <c r="D8958">
        <v>456</v>
      </c>
    </row>
    <row r="8959" spans="1:4" x14ac:dyDescent="0.25">
      <c r="A8959" t="str">
        <f>T("   870321")</f>
        <v xml:space="preserve">   870321</v>
      </c>
      <c r="B8959" t="s">
        <v>505</v>
      </c>
      <c r="C8959">
        <v>2650000</v>
      </c>
      <c r="D8959">
        <v>1786</v>
      </c>
    </row>
    <row r="8960" spans="1:4" x14ac:dyDescent="0.25">
      <c r="A8960" t="str">
        <f>T("SA")</f>
        <v>SA</v>
      </c>
      <c r="B8960" t="str">
        <f>T("Arabie Saoudite")</f>
        <v>Arabie Saoudite</v>
      </c>
    </row>
    <row r="8961" spans="1:4" x14ac:dyDescent="0.25">
      <c r="A8961" t="str">
        <f>T("   ZZ_Total_Produit_SH6")</f>
        <v xml:space="preserve">   ZZ_Total_Produit_SH6</v>
      </c>
      <c r="B8961" t="str">
        <f>T("   ZZ_Total_Produit_SH6")</f>
        <v xml:space="preserve">   ZZ_Total_Produit_SH6</v>
      </c>
      <c r="C8961">
        <v>760107425.329</v>
      </c>
      <c r="D8961">
        <v>1793367.8</v>
      </c>
    </row>
    <row r="8962" spans="1:4" x14ac:dyDescent="0.25">
      <c r="A8962" t="str">
        <f>T("   020712")</f>
        <v xml:space="preserve">   020712</v>
      </c>
      <c r="B8962" t="str">
        <f>T("   COQS ET POULES [DES ESPÈCES DOMESTIQUES], NON-DÉCOUPÉS EN MORCEAUX, CONGELÉS")</f>
        <v xml:space="preserve">   COQS ET POULES [DES ESPÈCES DOMESTIQUES], NON-DÉCOUPÉS EN MORCEAUX, CONGELÉS</v>
      </c>
      <c r="C8962">
        <v>62312921</v>
      </c>
      <c r="D8962">
        <v>98740</v>
      </c>
    </row>
    <row r="8963" spans="1:4" x14ac:dyDescent="0.25">
      <c r="A8963" t="str">
        <f>T("   020714")</f>
        <v xml:space="preserve">   020714</v>
      </c>
      <c r="B8963" t="str">
        <f>T("   Morceaux et abats comestibles de coqs et de poules [des espèces domestiques], congelés")</f>
        <v xml:space="preserve">   Morceaux et abats comestibles de coqs et de poules [des espèces domestiques], congelés</v>
      </c>
      <c r="C8963">
        <v>15550000</v>
      </c>
      <c r="D8963">
        <v>25000</v>
      </c>
    </row>
    <row r="8964" spans="1:4" x14ac:dyDescent="0.25">
      <c r="A8964" t="str">
        <f>T("   100630")</f>
        <v xml:space="preserve">   100630</v>
      </c>
      <c r="B8964" t="str">
        <f>T("   Riz semi-blanchi ou blanchi, même poli ou glacé")</f>
        <v xml:space="preserve">   Riz semi-blanchi ou blanchi, même poli ou glacé</v>
      </c>
      <c r="C8964">
        <v>143849228.329</v>
      </c>
      <c r="D8964">
        <v>520000</v>
      </c>
    </row>
    <row r="8965" spans="1:4" x14ac:dyDescent="0.25">
      <c r="A8965" t="str">
        <f>T("   100640")</f>
        <v xml:space="preserve">   100640</v>
      </c>
      <c r="B8965" t="str">
        <f>T("   Riz en brisures")</f>
        <v xml:space="preserve">   Riz en brisures</v>
      </c>
      <c r="C8965">
        <v>52072800</v>
      </c>
      <c r="D8965">
        <v>520000</v>
      </c>
    </row>
    <row r="8966" spans="1:4" x14ac:dyDescent="0.25">
      <c r="A8966" t="str">
        <f>T("   200980")</f>
        <v xml:space="preserve">   200980</v>
      </c>
      <c r="B896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966">
        <v>5588594</v>
      </c>
      <c r="D8966">
        <v>39694</v>
      </c>
    </row>
    <row r="8967" spans="1:4" x14ac:dyDescent="0.25">
      <c r="A8967" t="str">
        <f>T("   220210")</f>
        <v xml:space="preserve">   220210</v>
      </c>
      <c r="B896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967">
        <v>1770909</v>
      </c>
      <c r="D8967">
        <v>20000</v>
      </c>
    </row>
    <row r="8968" spans="1:4" x14ac:dyDescent="0.25">
      <c r="A8968" t="str">
        <f>T("   220290")</f>
        <v xml:space="preserve">   220290</v>
      </c>
      <c r="B8968" t="str">
        <f>T("   BOISSONS NON-ALCOOLIQUES (À L'EXCL. DES EAUX, DES JUS DE FRUITS OU DE LÉGUMES AINSI QUE DU LAIT)")</f>
        <v xml:space="preserve">   BOISSONS NON-ALCOOLIQUES (À L'EXCL. DES EAUX, DES JUS DE FRUITS OU DE LÉGUMES AINSI QUE DU LAIT)</v>
      </c>
      <c r="C8968">
        <v>35592495</v>
      </c>
      <c r="D8968">
        <v>215293</v>
      </c>
    </row>
    <row r="8969" spans="1:4" x14ac:dyDescent="0.25">
      <c r="A8969" t="str">
        <f>T("   271019")</f>
        <v xml:space="preserve">   271019</v>
      </c>
      <c r="B8969" t="str">
        <f>T("   Huiles moyennes et préparations, de pétrole ou de minéraux bitumineux, n.d.a.")</f>
        <v xml:space="preserve">   Huiles moyennes et préparations, de pétrole ou de minéraux bitumineux, n.d.a.</v>
      </c>
      <c r="C8969">
        <v>26190000</v>
      </c>
      <c r="D8969">
        <v>64310</v>
      </c>
    </row>
    <row r="8970" spans="1:4" x14ac:dyDescent="0.25">
      <c r="A8970" t="str">
        <f>T("   300339")</f>
        <v xml:space="preserve">   300339</v>
      </c>
      <c r="B8970"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8970">
        <v>485000</v>
      </c>
      <c r="D8970">
        <v>162</v>
      </c>
    </row>
    <row r="8971" spans="1:4" x14ac:dyDescent="0.25">
      <c r="A8971" t="str">
        <f>T("   300490")</f>
        <v xml:space="preserve">   300490</v>
      </c>
      <c r="B8971" t="s">
        <v>84</v>
      </c>
      <c r="C8971">
        <v>1323030</v>
      </c>
      <c r="D8971">
        <v>8</v>
      </c>
    </row>
    <row r="8972" spans="1:4" x14ac:dyDescent="0.25">
      <c r="A8972" t="str">
        <f>T("   310210")</f>
        <v xml:space="preserve">   310210</v>
      </c>
      <c r="B8972" t="str">
        <f>T("   Urée, même en solution aqueuse (à l'excl. des produits présentés soit en tablettes ou formes simil., soit en emballages d'un poids brut &lt;= 10 kg)")</f>
        <v xml:space="preserve">   Urée, même en solution aqueuse (à l'excl. des produits présentés soit en tablettes ou formes simil., soit en emballages d'un poids brut &lt;= 10 kg)</v>
      </c>
      <c r="C8972">
        <v>10000</v>
      </c>
      <c r="D8972">
        <v>4</v>
      </c>
    </row>
    <row r="8973" spans="1:4" x14ac:dyDescent="0.25">
      <c r="A8973" t="str">
        <f>T("   310559")</f>
        <v xml:space="preserve">   310559</v>
      </c>
      <c r="B8973" t="s">
        <v>90</v>
      </c>
      <c r="C8973">
        <v>10000</v>
      </c>
      <c r="D8973">
        <v>10</v>
      </c>
    </row>
    <row r="8974" spans="1:4" x14ac:dyDescent="0.25">
      <c r="A8974" t="str">
        <f>T("   320611")</f>
        <v xml:space="preserve">   320611</v>
      </c>
      <c r="B8974" t="s">
        <v>98</v>
      </c>
      <c r="C8974">
        <v>106044204</v>
      </c>
      <c r="D8974">
        <v>61280</v>
      </c>
    </row>
    <row r="8975" spans="1:4" x14ac:dyDescent="0.25">
      <c r="A8975" t="str">
        <f>T("   330499")</f>
        <v xml:space="preserve">   330499</v>
      </c>
      <c r="B8975" t="s">
        <v>106</v>
      </c>
      <c r="C8975">
        <v>78500</v>
      </c>
      <c r="D8975">
        <v>45</v>
      </c>
    </row>
    <row r="8976" spans="1:4" x14ac:dyDescent="0.25">
      <c r="A8976" t="str">
        <f>T("   340111")</f>
        <v xml:space="preserve">   340111</v>
      </c>
      <c r="B8976" t="s">
        <v>107</v>
      </c>
      <c r="C8976">
        <v>6117483</v>
      </c>
      <c r="D8976">
        <v>42000</v>
      </c>
    </row>
    <row r="8977" spans="1:4" x14ac:dyDescent="0.25">
      <c r="A8977" t="str">
        <f>T("   360300")</f>
        <v xml:space="preserve">   360300</v>
      </c>
      <c r="B8977"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8977">
        <v>13321</v>
      </c>
      <c r="D8977">
        <v>5</v>
      </c>
    </row>
    <row r="8978" spans="1:4" x14ac:dyDescent="0.25">
      <c r="A8978" t="str">
        <f>T("   382200")</f>
        <v xml:space="preserve">   382200</v>
      </c>
      <c r="B8978" t="s">
        <v>133</v>
      </c>
      <c r="C8978">
        <v>150000</v>
      </c>
      <c r="D8978">
        <v>10</v>
      </c>
    </row>
    <row r="8979" spans="1:4" x14ac:dyDescent="0.25">
      <c r="A8979" t="str">
        <f>T("   390110")</f>
        <v xml:space="preserve">   390110</v>
      </c>
      <c r="B8979" t="str">
        <f>T("   Polyéthylène d'une densité &lt; 0,94, sous formes primaires")</f>
        <v xml:space="preserve">   Polyéthylène d'une densité &lt; 0,94, sous formes primaires</v>
      </c>
      <c r="C8979">
        <v>13678169</v>
      </c>
      <c r="D8979">
        <v>15750</v>
      </c>
    </row>
    <row r="8980" spans="1:4" x14ac:dyDescent="0.25">
      <c r="A8980" t="str">
        <f>T("   392350")</f>
        <v xml:space="preserve">   392350</v>
      </c>
      <c r="B8980" t="str">
        <f>T("   Bouchons, couvercles, capsules et autres dispositifs de fermeture, en matières plastiques")</f>
        <v xml:space="preserve">   Bouchons, couvercles, capsules et autres dispositifs de fermeture, en matières plastiques</v>
      </c>
      <c r="C8980">
        <v>50000</v>
      </c>
      <c r="D8980">
        <v>13</v>
      </c>
    </row>
    <row r="8981" spans="1:4" x14ac:dyDescent="0.25">
      <c r="A8981" t="str">
        <f>T("   401110")</f>
        <v xml:space="preserve">   401110</v>
      </c>
      <c r="B898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981">
        <v>7246308</v>
      </c>
      <c r="D8981">
        <v>1944</v>
      </c>
    </row>
    <row r="8982" spans="1:4" x14ac:dyDescent="0.25">
      <c r="A8982" t="str">
        <f>T("   401120")</f>
        <v xml:space="preserve">   401120</v>
      </c>
      <c r="B898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982">
        <v>6969224</v>
      </c>
      <c r="D8982">
        <v>1869</v>
      </c>
    </row>
    <row r="8983" spans="1:4" x14ac:dyDescent="0.25">
      <c r="A8983" t="str">
        <f>T("   570250")</f>
        <v xml:space="preserve">   570250</v>
      </c>
      <c r="B8983" t="str">
        <f>T("   TAPIS ET AUTRES REVÊTEMENTS DE SOL, EN MATIÈRES TEXTILES, TISSÉS, NON-TOUFFETÉS NI FLOQUÉS, SANS VELOURS, NON-CONFECTIONNÉS (À L'EXCL. DES TAPIS DITS 'KELIM', 'KILIM', 'SCHUMACKS', 'SOUMAK' OU 'KARAMANIE' ET DES TAPIS SIMIL. TISSÉS À LA MAIN)")</f>
        <v xml:space="preserve">   TAPIS ET AUTRES REVÊTEMENTS DE SOL, EN MATIÈRES TEXTILES, TISSÉS, NON-TOUFFETÉS NI FLOQUÉS, SANS VELOURS, NON-CONFECTIONNÉS (À L'EXCL. DES TAPIS DITS 'KELIM', 'KILIM', 'SCHUMACKS', 'SOUMAK' OU 'KARAMANIE' ET DES TAPIS SIMIL. TISSÉS À LA MAIN)</v>
      </c>
      <c r="C8983">
        <v>3729992</v>
      </c>
      <c r="D8983">
        <v>9000</v>
      </c>
    </row>
    <row r="8984" spans="1:4" x14ac:dyDescent="0.25">
      <c r="A8984" t="str">
        <f>T("   570390")</f>
        <v xml:space="preserve">   570390</v>
      </c>
      <c r="B898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984">
        <v>4272522</v>
      </c>
      <c r="D8984">
        <v>22000</v>
      </c>
    </row>
    <row r="8985" spans="1:4" x14ac:dyDescent="0.25">
      <c r="A8985" t="str">
        <f>T("   620590")</f>
        <v xml:space="preserve">   620590</v>
      </c>
      <c r="B898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985">
        <v>3500525</v>
      </c>
      <c r="D8985">
        <v>3500</v>
      </c>
    </row>
    <row r="8986" spans="1:4" x14ac:dyDescent="0.25">
      <c r="A8986" t="str">
        <f>T("   630900")</f>
        <v xml:space="preserve">   630900</v>
      </c>
      <c r="B8986" t="s">
        <v>300</v>
      </c>
      <c r="C8986">
        <v>6213944</v>
      </c>
      <c r="D8986">
        <v>23351</v>
      </c>
    </row>
    <row r="8987" spans="1:4" x14ac:dyDescent="0.25">
      <c r="A8987" t="str">
        <f>T("   640110")</f>
        <v xml:space="preserve">   640110</v>
      </c>
      <c r="B8987" t="s">
        <v>301</v>
      </c>
      <c r="C8987">
        <v>37500</v>
      </c>
      <c r="D8987">
        <v>100</v>
      </c>
    </row>
    <row r="8988" spans="1:4" x14ac:dyDescent="0.25">
      <c r="A8988" t="str">
        <f>T("   640520")</f>
        <v xml:space="preserve">   640520</v>
      </c>
      <c r="B8988"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8988">
        <v>100000</v>
      </c>
      <c r="D8988">
        <v>113</v>
      </c>
    </row>
    <row r="8989" spans="1:4" x14ac:dyDescent="0.25">
      <c r="A8989" t="str">
        <f>T("   732394")</f>
        <v xml:space="preserve">   732394</v>
      </c>
      <c r="B8989" t="s">
        <v>389</v>
      </c>
      <c r="C8989">
        <v>1400000</v>
      </c>
      <c r="D8989">
        <v>1400</v>
      </c>
    </row>
    <row r="8990" spans="1:4" x14ac:dyDescent="0.25">
      <c r="A8990" t="str">
        <f>T("   732399")</f>
        <v xml:space="preserve">   732399</v>
      </c>
      <c r="B8990" t="s">
        <v>390</v>
      </c>
      <c r="C8990">
        <v>196614</v>
      </c>
      <c r="D8990">
        <v>6956</v>
      </c>
    </row>
    <row r="8991" spans="1:4" x14ac:dyDescent="0.25">
      <c r="A8991" t="str">
        <f>T("   741533")</f>
        <v xml:space="preserve">   741533</v>
      </c>
      <c r="B8991" t="str">
        <f>T("   Vis, boulons, écrous et articles simil., filetés, en cuivre (à l'excl. des crochets et pitons à pas de vis, des tire-fond, des bouchons métalliques, bondes et articles simil., filetés)")</f>
        <v xml:space="preserve">   Vis, boulons, écrous et articles simil., filetés, en cuivre (à l'excl. des crochets et pitons à pas de vis, des tire-fond, des bouchons métalliques, bondes et articles simil., filetés)</v>
      </c>
      <c r="C8991">
        <v>354123</v>
      </c>
      <c r="D8991">
        <v>570</v>
      </c>
    </row>
    <row r="8992" spans="1:4" x14ac:dyDescent="0.25">
      <c r="A8992" t="str">
        <f>T("   810820")</f>
        <v xml:space="preserve">   810820</v>
      </c>
      <c r="B8992" t="str">
        <f>T("   Titane sous forme brute; poudres de titane")</f>
        <v xml:space="preserve">   Titane sous forme brute; poudres de titane</v>
      </c>
      <c r="C8992">
        <v>30690715</v>
      </c>
      <c r="D8992">
        <v>20640</v>
      </c>
    </row>
    <row r="8993" spans="1:4" x14ac:dyDescent="0.25">
      <c r="A8993" t="str">
        <f>T("   820559")</f>
        <v xml:space="preserve">   820559</v>
      </c>
      <c r="B8993" t="str">
        <f>T("   Outils à main, y.c. -les diamants de vitrier-, en métaux communs, n.d.a.")</f>
        <v xml:space="preserve">   Outils à main, y.c. -les diamants de vitrier-, en métaux communs, n.d.a.</v>
      </c>
      <c r="C8993">
        <v>1221199</v>
      </c>
      <c r="D8993">
        <v>200</v>
      </c>
    </row>
    <row r="8994" spans="1:4" x14ac:dyDescent="0.25">
      <c r="A8994" t="str">
        <f>T("   840999")</f>
        <v xml:space="preserve">   840999</v>
      </c>
      <c r="B899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994">
        <v>184074</v>
      </c>
      <c r="D8994">
        <v>0.5</v>
      </c>
    </row>
    <row r="8995" spans="1:4" x14ac:dyDescent="0.25">
      <c r="A8995" t="str">
        <f>T("   841829")</f>
        <v xml:space="preserve">   841829</v>
      </c>
      <c r="B8995" t="str">
        <f>T("   Réfrigérateurs ménagers à absorption, non-électriques")</f>
        <v xml:space="preserve">   Réfrigérateurs ménagers à absorption, non-électriques</v>
      </c>
      <c r="C8995">
        <v>5682662</v>
      </c>
      <c r="D8995">
        <v>3879</v>
      </c>
    </row>
    <row r="8996" spans="1:4" x14ac:dyDescent="0.25">
      <c r="A8996" t="str">
        <f>T("   842860")</f>
        <v xml:space="preserve">   842860</v>
      </c>
      <c r="B8996" t="str">
        <f>T("   Téléphériques, y.c. les -télésièges et remonte-pentes-; mécanismes de traction pour funiculaires")</f>
        <v xml:space="preserve">   Téléphériques, y.c. les -télésièges et remonte-pentes-; mécanismes de traction pour funiculaires</v>
      </c>
      <c r="C8996">
        <v>83806505</v>
      </c>
      <c r="D8996">
        <v>1350</v>
      </c>
    </row>
    <row r="8997" spans="1:4" x14ac:dyDescent="0.25">
      <c r="A8997" t="str">
        <f>T("   845019")</f>
        <v xml:space="preserve">   845019</v>
      </c>
      <c r="B8997"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8997">
        <v>65538</v>
      </c>
      <c r="D8997">
        <v>635</v>
      </c>
    </row>
    <row r="8998" spans="1:4" x14ac:dyDescent="0.25">
      <c r="A8998" t="str">
        <f>T("   850212")</f>
        <v xml:space="preserve">   850212</v>
      </c>
      <c r="B8998"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998">
        <v>10625149</v>
      </c>
      <c r="D8998">
        <v>5192</v>
      </c>
    </row>
    <row r="8999" spans="1:4" x14ac:dyDescent="0.25">
      <c r="A8999" t="str">
        <f>T("   850780")</f>
        <v xml:space="preserve">   850780</v>
      </c>
      <c r="B8999" t="str">
        <f>T("   Accumulateurs électriques (sauf hors d'usage et autres qu'au plomb, au nickel-cadmium ou au nickel-fer)")</f>
        <v xml:space="preserve">   Accumulateurs électriques (sauf hors d'usage et autres qu'au plomb, au nickel-cadmium ou au nickel-fer)</v>
      </c>
      <c r="C8999">
        <v>28042613</v>
      </c>
      <c r="D8999">
        <v>13647</v>
      </c>
    </row>
    <row r="9000" spans="1:4" x14ac:dyDescent="0.25">
      <c r="A9000" t="str">
        <f>T("   851529")</f>
        <v xml:space="preserve">   851529</v>
      </c>
      <c r="B9000" t="str">
        <f>T("   MACHINES ET APPAREILS POUR LE SOUDAGE DES MÉTAUX PAR RÉSISTANCE, NON-AUTOMATIQUES")</f>
        <v xml:space="preserve">   MACHINES ET APPAREILS POUR LE SOUDAGE DES MÉTAUX PAR RÉSISTANCE, NON-AUTOMATIQUES</v>
      </c>
      <c r="C9000">
        <v>557900</v>
      </c>
      <c r="D9000">
        <v>1500</v>
      </c>
    </row>
    <row r="9001" spans="1:4" x14ac:dyDescent="0.25">
      <c r="A9001" t="str">
        <f>T("   851610")</f>
        <v xml:space="preserve">   851610</v>
      </c>
      <c r="B9001" t="str">
        <f>T("   Chauffe-eau et thermoplongeurs électriques")</f>
        <v xml:space="preserve">   Chauffe-eau et thermoplongeurs électriques</v>
      </c>
      <c r="C9001">
        <v>4929984</v>
      </c>
      <c r="D9001">
        <v>3816</v>
      </c>
    </row>
    <row r="9002" spans="1:4" x14ac:dyDescent="0.25">
      <c r="A9002" t="str">
        <f>T("   851769")</f>
        <v xml:space="preserve">   851769</v>
      </c>
      <c r="B9002" t="s">
        <v>481</v>
      </c>
      <c r="C9002">
        <v>730270</v>
      </c>
      <c r="D9002">
        <v>94.4</v>
      </c>
    </row>
    <row r="9003" spans="1:4" x14ac:dyDescent="0.25">
      <c r="A9003" t="str">
        <f>T("   851770")</f>
        <v xml:space="preserve">   851770</v>
      </c>
      <c r="B9003"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003">
        <v>50000</v>
      </c>
      <c r="D9003">
        <v>15</v>
      </c>
    </row>
    <row r="9004" spans="1:4" x14ac:dyDescent="0.25">
      <c r="A9004" t="str">
        <f>T("   852871")</f>
        <v xml:space="preserve">   852871</v>
      </c>
      <c r="B9004" t="str">
        <f>T("   APPAREILS RÉCEPTEURS DE TÉLÉVISION, MÊME INCORPORANT UN APPAREIL RÉCEPTEUR DE RADIODIFFUSION OU UN APPAREIL D'ENREGISTREMENT OU DE REPRODUCTION DU SON OU DES IMAGES, NON CONÇUS POUR INCORPORER UN DISPOSITIF D'AFFICHAGE OU UN ÉCRAN VIDÉO")</f>
        <v xml:space="preserve">   APPAREILS RÉCEPTEURS DE TÉLÉVISION, MÊME INCORPORANT UN APPAREIL RÉCEPTEUR DE RADIODIFFUSION OU UN APPAREIL D'ENREGISTREMENT OU DE REPRODUCTION DU SON OU DES IMAGES, NON CONÇUS POUR INCORPORER UN DISPOSITIF D'AFFICHAGE OU UN ÉCRAN VIDÉO</v>
      </c>
      <c r="C9004">
        <v>197010</v>
      </c>
      <c r="D9004">
        <v>550</v>
      </c>
    </row>
    <row r="9005" spans="1:4" x14ac:dyDescent="0.25">
      <c r="A9005" t="str">
        <f>T("   853661")</f>
        <v xml:space="preserve">   853661</v>
      </c>
      <c r="B9005" t="str">
        <f>T("   Douilles pour lampes, pour une tension &lt;= 1.000 V")</f>
        <v xml:space="preserve">   Douilles pour lampes, pour une tension &lt;= 1.000 V</v>
      </c>
      <c r="C9005">
        <v>22433</v>
      </c>
      <c r="D9005">
        <v>3</v>
      </c>
    </row>
    <row r="9006" spans="1:4" x14ac:dyDescent="0.25">
      <c r="A9006" t="str">
        <f>T("   853929")</f>
        <v xml:space="preserve">   853929</v>
      </c>
      <c r="B900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9006">
        <v>145494</v>
      </c>
      <c r="D9006">
        <v>647</v>
      </c>
    </row>
    <row r="9007" spans="1:4" x14ac:dyDescent="0.25">
      <c r="A9007" t="str">
        <f>T("   854420")</f>
        <v xml:space="preserve">   854420</v>
      </c>
      <c r="B9007" t="str">
        <f>T("   Câbles coaxiaux et autres conducteurs électriques coaxiaux, isolés")</f>
        <v xml:space="preserve">   Câbles coaxiaux et autres conducteurs électriques coaxiaux, isolés</v>
      </c>
      <c r="C9007">
        <v>1212247</v>
      </c>
      <c r="D9007">
        <v>1000</v>
      </c>
    </row>
    <row r="9008" spans="1:4" x14ac:dyDescent="0.25">
      <c r="A9008" t="str">
        <f>T("   870322")</f>
        <v xml:space="preserve">   870322</v>
      </c>
      <c r="B9008" t="s">
        <v>506</v>
      </c>
      <c r="C9008">
        <v>16000000</v>
      </c>
      <c r="D9008">
        <v>2500</v>
      </c>
    </row>
    <row r="9009" spans="1:4" x14ac:dyDescent="0.25">
      <c r="A9009" t="str">
        <f>T("   870333")</f>
        <v xml:space="preserve">   870333</v>
      </c>
      <c r="B9009" t="s">
        <v>511</v>
      </c>
      <c r="C9009">
        <v>8956300</v>
      </c>
      <c r="D9009">
        <v>1650</v>
      </c>
    </row>
    <row r="9010" spans="1:4" x14ac:dyDescent="0.25">
      <c r="A9010" t="str">
        <f>T("   870421")</f>
        <v xml:space="preserve">   870421</v>
      </c>
      <c r="B9010" t="s">
        <v>512</v>
      </c>
      <c r="C9010">
        <v>39989260</v>
      </c>
      <c r="D9010">
        <v>6000</v>
      </c>
    </row>
    <row r="9011" spans="1:4" x14ac:dyDescent="0.25">
      <c r="A9011" t="str">
        <f>T("   870899")</f>
        <v xml:space="preserve">   870899</v>
      </c>
      <c r="B901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011">
        <v>9523704</v>
      </c>
      <c r="D9011">
        <v>223.6</v>
      </c>
    </row>
    <row r="9012" spans="1:4" x14ac:dyDescent="0.25">
      <c r="A9012" t="str">
        <f>T("   870919")</f>
        <v xml:space="preserve">   870919</v>
      </c>
      <c r="B9012"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9012">
        <v>165718</v>
      </c>
      <c r="D9012">
        <v>0.3</v>
      </c>
    </row>
    <row r="9013" spans="1:4" x14ac:dyDescent="0.25">
      <c r="A9013" t="str">
        <f>T("   940350")</f>
        <v xml:space="preserve">   940350</v>
      </c>
      <c r="B9013" t="str">
        <f>T("   Meubles pour chambres à coucher, en bois (sauf sièges)")</f>
        <v xml:space="preserve">   Meubles pour chambres à coucher, en bois (sauf sièges)</v>
      </c>
      <c r="C9013">
        <v>4300000</v>
      </c>
      <c r="D9013">
        <v>4700</v>
      </c>
    </row>
    <row r="9014" spans="1:4" x14ac:dyDescent="0.25">
      <c r="A9014" t="str">
        <f>T("   940360")</f>
        <v xml:space="preserve">   940360</v>
      </c>
      <c r="B9014" t="str">
        <f>T("   Meubles en bois (autres que pour bureaux, cuisines ou chambres à coucher et autres que sièges)")</f>
        <v xml:space="preserve">   Meubles en bois (autres que pour bureaux, cuisines ou chambres à coucher et autres que sièges)</v>
      </c>
      <c r="C9014">
        <v>1186920</v>
      </c>
      <c r="D9014">
        <v>4000</v>
      </c>
    </row>
    <row r="9015" spans="1:4" x14ac:dyDescent="0.25">
      <c r="A9015" t="str">
        <f>T("   940370")</f>
        <v xml:space="preserve">   940370</v>
      </c>
      <c r="B901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015">
        <v>2161388</v>
      </c>
      <c r="D9015">
        <v>9500</v>
      </c>
    </row>
    <row r="9016" spans="1:4" x14ac:dyDescent="0.25">
      <c r="A9016" t="str">
        <f>T("   940389")</f>
        <v xml:space="preserve">   940389</v>
      </c>
      <c r="B9016"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9016">
        <v>4607442</v>
      </c>
      <c r="D9016">
        <v>17850</v>
      </c>
    </row>
    <row r="9017" spans="1:4" x14ac:dyDescent="0.25">
      <c r="A9017" t="str">
        <f>T("   960839")</f>
        <v xml:space="preserve">   960839</v>
      </c>
      <c r="B9017" t="str">
        <f>T("   Stylos à plume et autres stylos (autres qu'à dessiner à l'encre de Chine)")</f>
        <v xml:space="preserve">   Stylos à plume et autres stylos (autres qu'à dessiner à l'encre de Chine)</v>
      </c>
      <c r="C9017">
        <v>145494</v>
      </c>
      <c r="D9017">
        <v>648</v>
      </c>
    </row>
    <row r="9018" spans="1:4" x14ac:dyDescent="0.25">
      <c r="A9018" t="str">
        <f>T("SC")</f>
        <v>SC</v>
      </c>
      <c r="B9018" t="str">
        <f>T("Seychelles")</f>
        <v>Seychelles</v>
      </c>
    </row>
    <row r="9019" spans="1:4" x14ac:dyDescent="0.25">
      <c r="A9019" t="str">
        <f>T("   ZZ_Total_Produit_SH6")</f>
        <v xml:space="preserve">   ZZ_Total_Produit_SH6</v>
      </c>
      <c r="B9019" t="str">
        <f>T("   ZZ_Total_Produit_SH6")</f>
        <v xml:space="preserve">   ZZ_Total_Produit_SH6</v>
      </c>
      <c r="C9019">
        <v>112608053</v>
      </c>
      <c r="D9019">
        <v>330432</v>
      </c>
    </row>
    <row r="9020" spans="1:4" x14ac:dyDescent="0.25">
      <c r="A9020" t="str">
        <f>T("   030329")</f>
        <v xml:space="preserve">   030329</v>
      </c>
      <c r="B9020" t="str">
        <f>T("   Salmonidés, congelés (à l'excl. des saumons du Pacifique, de l'Atlantique et du Danube ainsi que des truites)")</f>
        <v xml:space="preserve">   Salmonidés, congelés (à l'excl. des saumons du Pacifique, de l'Atlantique et du Danube ainsi que des truites)</v>
      </c>
      <c r="C9020">
        <v>51750441</v>
      </c>
      <c r="D9020">
        <v>230000</v>
      </c>
    </row>
    <row r="9021" spans="1:4" x14ac:dyDescent="0.25">
      <c r="A9021" t="str">
        <f>T("   220429")</f>
        <v xml:space="preserve">   220429</v>
      </c>
      <c r="B9021"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9021">
        <v>11328384</v>
      </c>
      <c r="D9021">
        <v>20250</v>
      </c>
    </row>
    <row r="9022" spans="1:4" x14ac:dyDescent="0.25">
      <c r="A9022" t="str">
        <f>T("   271019")</f>
        <v xml:space="preserve">   271019</v>
      </c>
      <c r="B9022" t="str">
        <f>T("   Huiles moyennes et préparations, de pétrole ou de minéraux bitumineux, n.d.a.")</f>
        <v xml:space="preserve">   Huiles moyennes et préparations, de pétrole ou de minéraux bitumineux, n.d.a.</v>
      </c>
      <c r="C9022">
        <v>41726054</v>
      </c>
      <c r="D9022">
        <v>79507</v>
      </c>
    </row>
    <row r="9023" spans="1:4" x14ac:dyDescent="0.25">
      <c r="A9023" t="str">
        <f>T("   481950")</f>
        <v xml:space="preserve">   481950</v>
      </c>
      <c r="B9023" t="s">
        <v>233</v>
      </c>
      <c r="C9023">
        <v>6083255</v>
      </c>
      <c r="D9023">
        <v>600</v>
      </c>
    </row>
    <row r="9024" spans="1:4" x14ac:dyDescent="0.25">
      <c r="A9024" t="str">
        <f>T("   843120")</f>
        <v xml:space="preserve">   843120</v>
      </c>
      <c r="B9024" t="str">
        <f>T("   Parties de chariots-gerbeurs et autres chariots de manutention munis d'un dispositif de levage, n.d.a.")</f>
        <v xml:space="preserve">   Parties de chariots-gerbeurs et autres chariots de manutention munis d'un dispositif de levage, n.d.a.</v>
      </c>
      <c r="C9024">
        <v>1719919</v>
      </c>
      <c r="D9024">
        <v>75</v>
      </c>
    </row>
    <row r="9025" spans="1:4" x14ac:dyDescent="0.25">
      <c r="A9025" t="str">
        <f>T("SD")</f>
        <v>SD</v>
      </c>
      <c r="B9025" t="str">
        <f>T("Soudan")</f>
        <v>Soudan</v>
      </c>
    </row>
    <row r="9026" spans="1:4" x14ac:dyDescent="0.25">
      <c r="A9026" t="str">
        <f>T("   ZZ_Total_Produit_SH6")</f>
        <v xml:space="preserve">   ZZ_Total_Produit_SH6</v>
      </c>
      <c r="B9026" t="str">
        <f>T("   ZZ_Total_Produit_SH6")</f>
        <v xml:space="preserve">   ZZ_Total_Produit_SH6</v>
      </c>
      <c r="C9026">
        <v>8778600</v>
      </c>
      <c r="D9026">
        <v>15129</v>
      </c>
    </row>
    <row r="9027" spans="1:4" x14ac:dyDescent="0.25">
      <c r="A9027" t="str">
        <f>T("   611520")</f>
        <v xml:space="preserve">   611520</v>
      </c>
      <c r="B9027" t="s">
        <v>283</v>
      </c>
      <c r="C9027">
        <v>40000</v>
      </c>
      <c r="D9027">
        <v>129</v>
      </c>
    </row>
    <row r="9028" spans="1:4" x14ac:dyDescent="0.25">
      <c r="A9028" t="str">
        <f>T("   630900")</f>
        <v xml:space="preserve">   630900</v>
      </c>
      <c r="B9028" t="s">
        <v>300</v>
      </c>
      <c r="C9028">
        <v>8738600</v>
      </c>
      <c r="D9028">
        <v>15000</v>
      </c>
    </row>
    <row r="9029" spans="1:4" x14ac:dyDescent="0.25">
      <c r="A9029" t="str">
        <f>T("SE")</f>
        <v>SE</v>
      </c>
      <c r="B9029" t="str">
        <f>T("Suède")</f>
        <v>Suède</v>
      </c>
    </row>
    <row r="9030" spans="1:4" x14ac:dyDescent="0.25">
      <c r="A9030" t="str">
        <f>T("   ZZ_Total_Produit_SH6")</f>
        <v xml:space="preserve">   ZZ_Total_Produit_SH6</v>
      </c>
      <c r="B9030" t="str">
        <f>T("   ZZ_Total_Produit_SH6")</f>
        <v xml:space="preserve">   ZZ_Total_Produit_SH6</v>
      </c>
      <c r="C9030">
        <v>17520038447</v>
      </c>
      <c r="D9030">
        <v>6596415.5499999998</v>
      </c>
    </row>
    <row r="9031" spans="1:4" x14ac:dyDescent="0.25">
      <c r="A9031" t="str">
        <f>T("   020727")</f>
        <v xml:space="preserve">   020727</v>
      </c>
      <c r="B9031" t="str">
        <f>T("   Morceaux et abats comestibles de dindes et dindons [des espèces domestiques], congelés")</f>
        <v xml:space="preserve">   Morceaux et abats comestibles de dindes et dindons [des espèces domestiques], congelés</v>
      </c>
      <c r="C9031">
        <v>15550000</v>
      </c>
      <c r="D9031">
        <v>23970</v>
      </c>
    </row>
    <row r="9032" spans="1:4" x14ac:dyDescent="0.25">
      <c r="A9032" t="str">
        <f>T("   271011")</f>
        <v xml:space="preserve">   271011</v>
      </c>
      <c r="B903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032">
        <v>367113992</v>
      </c>
      <c r="D9032">
        <v>703938</v>
      </c>
    </row>
    <row r="9033" spans="1:4" x14ac:dyDescent="0.25">
      <c r="A9033" t="str">
        <f>T("   300210")</f>
        <v xml:space="preserve">   300210</v>
      </c>
      <c r="B9033" t="str">
        <f>T("   Antisérums, autres fractions du sang, produits immunologiques modifiés, même obtenus par voie biotechnologique")</f>
        <v xml:space="preserve">   Antisérums, autres fractions du sang, produits immunologiques modifiés, même obtenus par voie biotechnologique</v>
      </c>
      <c r="C9033">
        <v>170000</v>
      </c>
      <c r="D9033">
        <v>31</v>
      </c>
    </row>
    <row r="9034" spans="1:4" x14ac:dyDescent="0.25">
      <c r="A9034" t="str">
        <f>T("   400922")</f>
        <v xml:space="preserve">   400922</v>
      </c>
      <c r="B9034"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9034">
        <v>917151</v>
      </c>
      <c r="D9034">
        <v>50</v>
      </c>
    </row>
    <row r="9035" spans="1:4" x14ac:dyDescent="0.25">
      <c r="A9035" t="str">
        <f>T("   401220")</f>
        <v xml:space="preserve">   401220</v>
      </c>
      <c r="B9035" t="str">
        <f>T("   Pneumatiques usagés, en caoutchouc")</f>
        <v xml:space="preserve">   Pneumatiques usagés, en caoutchouc</v>
      </c>
      <c r="C9035">
        <v>7500247</v>
      </c>
      <c r="D9035">
        <v>18000</v>
      </c>
    </row>
    <row r="9036" spans="1:4" x14ac:dyDescent="0.25">
      <c r="A9036" t="str">
        <f>T("   441199")</f>
        <v xml:space="preserve">   441199</v>
      </c>
      <c r="B9036" t="s">
        <v>189</v>
      </c>
      <c r="C9036">
        <v>13432234</v>
      </c>
      <c r="D9036">
        <v>93408</v>
      </c>
    </row>
    <row r="9037" spans="1:4" x14ac:dyDescent="0.25">
      <c r="A9037" t="str">
        <f>T("   441820")</f>
        <v xml:space="preserve">   441820</v>
      </c>
      <c r="B9037" t="str">
        <f>T("   Portes et leurs cadres, chambranles et seuils, en bois")</f>
        <v xml:space="preserve">   Portes et leurs cadres, chambranles et seuils, en bois</v>
      </c>
      <c r="C9037">
        <v>11160136</v>
      </c>
      <c r="D9037">
        <v>13590</v>
      </c>
    </row>
    <row r="9038" spans="1:4" x14ac:dyDescent="0.25">
      <c r="A9038" t="str">
        <f>T("   442190")</f>
        <v xml:space="preserve">   442190</v>
      </c>
      <c r="B9038" t="str">
        <f>T("   Ouvrages, en bois, n.d.a.")</f>
        <v xml:space="preserve">   Ouvrages, en bois, n.d.a.</v>
      </c>
      <c r="C9038">
        <v>1180728</v>
      </c>
      <c r="D9038">
        <v>2702</v>
      </c>
    </row>
    <row r="9039" spans="1:4" x14ac:dyDescent="0.25">
      <c r="A9039" t="str">
        <f>T("   480256")</f>
        <v xml:space="preserve">   480256</v>
      </c>
      <c r="B9039" t="s">
        <v>207</v>
      </c>
      <c r="C9039">
        <v>75851560</v>
      </c>
      <c r="D9039">
        <v>139720</v>
      </c>
    </row>
    <row r="9040" spans="1:4" x14ac:dyDescent="0.25">
      <c r="A9040" t="str">
        <f>T("   480257")</f>
        <v xml:space="preserve">   480257</v>
      </c>
      <c r="B9040" t="s">
        <v>208</v>
      </c>
      <c r="C9040">
        <v>262789536</v>
      </c>
      <c r="D9040">
        <v>952654</v>
      </c>
    </row>
    <row r="9041" spans="1:4" x14ac:dyDescent="0.25">
      <c r="A9041" t="str">
        <f>T("   480269")</f>
        <v xml:space="preserve">   480269</v>
      </c>
      <c r="B9041" t="s">
        <v>208</v>
      </c>
      <c r="C9041">
        <v>483757778</v>
      </c>
      <c r="D9041">
        <v>991406</v>
      </c>
    </row>
    <row r="9042" spans="1:4" x14ac:dyDescent="0.25">
      <c r="A9042" t="str">
        <f>T("   480421")</f>
        <v xml:space="preserve">   480421</v>
      </c>
      <c r="B9042"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9042">
        <v>331948088</v>
      </c>
      <c r="D9042">
        <v>663148</v>
      </c>
    </row>
    <row r="9043" spans="1:4" x14ac:dyDescent="0.25">
      <c r="A9043" t="str">
        <f>T("   480439")</f>
        <v xml:space="preserve">   480439</v>
      </c>
      <c r="B9043" t="s">
        <v>213</v>
      </c>
      <c r="C9043">
        <v>37927703</v>
      </c>
      <c r="D9043">
        <v>113030</v>
      </c>
    </row>
    <row r="9044" spans="1:4" x14ac:dyDescent="0.25">
      <c r="A9044" t="str">
        <f>T("   481029")</f>
        <v xml:space="preserve">   481029</v>
      </c>
      <c r="B9044" t="s">
        <v>222</v>
      </c>
      <c r="C9044">
        <v>89147588</v>
      </c>
      <c r="D9044">
        <v>179500</v>
      </c>
    </row>
    <row r="9045" spans="1:4" x14ac:dyDescent="0.25">
      <c r="A9045" t="str">
        <f>T("   482340")</f>
        <v xml:space="preserve">   482340</v>
      </c>
      <c r="B9045"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9045">
        <v>77559221</v>
      </c>
      <c r="D9045">
        <v>148411</v>
      </c>
    </row>
    <row r="9046" spans="1:4" x14ac:dyDescent="0.25">
      <c r="A9046" t="str">
        <f>T("   490199")</f>
        <v xml:space="preserve">   490199</v>
      </c>
      <c r="B904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046">
        <v>14804903</v>
      </c>
      <c r="D9046">
        <v>82</v>
      </c>
    </row>
    <row r="9047" spans="1:4" x14ac:dyDescent="0.25">
      <c r="A9047" t="str">
        <f>T("   491110")</f>
        <v xml:space="preserve">   491110</v>
      </c>
      <c r="B9047" t="str">
        <f>T("   Imprimés publicitaires, catalogues commerciaux et simil.")</f>
        <v xml:space="preserve">   Imprimés publicitaires, catalogues commerciaux et simil.</v>
      </c>
      <c r="C9047">
        <v>221200</v>
      </c>
      <c r="D9047">
        <v>87</v>
      </c>
    </row>
    <row r="9048" spans="1:4" x14ac:dyDescent="0.25">
      <c r="A9048" t="str">
        <f>T("   491199")</f>
        <v xml:space="preserve">   491199</v>
      </c>
      <c r="B9048" t="str">
        <f>T("   Imprimés, n.d.a.")</f>
        <v xml:space="preserve">   Imprimés, n.d.a.</v>
      </c>
      <c r="C9048">
        <v>8327268</v>
      </c>
      <c r="D9048">
        <v>984</v>
      </c>
    </row>
    <row r="9049" spans="1:4" x14ac:dyDescent="0.25">
      <c r="A9049" t="str">
        <f>T("   620690")</f>
        <v xml:space="preserve">   620690</v>
      </c>
      <c r="B9049" t="s">
        <v>291</v>
      </c>
      <c r="C9049">
        <v>1500000</v>
      </c>
      <c r="D9049">
        <v>1305</v>
      </c>
    </row>
    <row r="9050" spans="1:4" x14ac:dyDescent="0.25">
      <c r="A9050" t="str">
        <f>T("   680990")</f>
        <v xml:space="preserve">   680990</v>
      </c>
      <c r="B9050" t="s">
        <v>326</v>
      </c>
      <c r="C9050">
        <v>5479680</v>
      </c>
      <c r="D9050">
        <v>2702</v>
      </c>
    </row>
    <row r="9051" spans="1:4" x14ac:dyDescent="0.25">
      <c r="A9051" t="str">
        <f>T("   690890")</f>
        <v xml:space="preserve">   690890</v>
      </c>
      <c r="B9051" t="s">
        <v>336</v>
      </c>
      <c r="C9051">
        <v>203807827</v>
      </c>
      <c r="D9051">
        <v>1766158</v>
      </c>
    </row>
    <row r="9052" spans="1:4" x14ac:dyDescent="0.25">
      <c r="A9052" t="str">
        <f>T("   691090")</f>
        <v xml:space="preserve">   691090</v>
      </c>
      <c r="B9052" t="s">
        <v>339</v>
      </c>
      <c r="C9052">
        <v>45353233</v>
      </c>
      <c r="D9052">
        <v>60881</v>
      </c>
    </row>
    <row r="9053" spans="1:4" x14ac:dyDescent="0.25">
      <c r="A9053" t="str">
        <f>T("   700600")</f>
        <v xml:space="preserve">   700600</v>
      </c>
      <c r="B9053" t="s">
        <v>344</v>
      </c>
      <c r="C9053">
        <v>6117151</v>
      </c>
      <c r="D9053">
        <v>26992</v>
      </c>
    </row>
    <row r="9054" spans="1:4" x14ac:dyDescent="0.25">
      <c r="A9054" t="str">
        <f>T("   721790")</f>
        <v xml:space="preserve">   721790</v>
      </c>
      <c r="B9054"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054">
        <v>10274083</v>
      </c>
      <c r="D9054">
        <v>52000</v>
      </c>
    </row>
    <row r="9055" spans="1:4" x14ac:dyDescent="0.25">
      <c r="A9055" t="str">
        <f>T("   730630")</f>
        <v xml:space="preserve">   730630</v>
      </c>
      <c r="B9055" t="s">
        <v>372</v>
      </c>
      <c r="C9055">
        <v>13527082</v>
      </c>
      <c r="D9055">
        <v>52100</v>
      </c>
    </row>
    <row r="9056" spans="1:4" x14ac:dyDescent="0.25">
      <c r="A9056" t="str">
        <f>T("   731290")</f>
        <v xml:space="preserve">   731290</v>
      </c>
      <c r="B9056" t="str">
        <f>T("   Tresses, élingues et simil., en fer ou en acier (sauf produits isolés pour l'électricité)")</f>
        <v xml:space="preserve">   Tresses, élingues et simil., en fer ou en acier (sauf produits isolés pour l'électricité)</v>
      </c>
      <c r="C9056">
        <v>22704058</v>
      </c>
      <c r="D9056">
        <v>5160</v>
      </c>
    </row>
    <row r="9057" spans="1:4" x14ac:dyDescent="0.25">
      <c r="A9057" t="str">
        <f>T("   731816")</f>
        <v xml:space="preserve">   731816</v>
      </c>
      <c r="B9057" t="str">
        <f>T("   ÉCROUS EN FONTE, FER OU ACIER")</f>
        <v xml:space="preserve">   ÉCROUS EN FONTE, FER OU ACIER</v>
      </c>
      <c r="C9057">
        <v>13060</v>
      </c>
      <c r="D9057">
        <v>2.2000000000000002</v>
      </c>
    </row>
    <row r="9058" spans="1:4" x14ac:dyDescent="0.25">
      <c r="A9058" t="str">
        <f>T("   760429")</f>
        <v xml:space="preserve">   760429</v>
      </c>
      <c r="B9058" t="str">
        <f>T("   Barres et profilés pleins en alliages d'aluminium, n.d.a.")</f>
        <v xml:space="preserve">   Barres et profilés pleins en alliages d'aluminium, n.d.a.</v>
      </c>
      <c r="C9058">
        <v>16107098</v>
      </c>
      <c r="D9058">
        <v>2702</v>
      </c>
    </row>
    <row r="9059" spans="1:4" x14ac:dyDescent="0.25">
      <c r="A9059" t="str">
        <f>T("   761010")</f>
        <v xml:space="preserve">   761010</v>
      </c>
      <c r="B9059" t="str">
        <f>T("   Portes, fenêtres et leurs cadres, chambranles et seuils, en aluminium (sauf pièces de garnissage)")</f>
        <v xml:space="preserve">   Portes, fenêtres et leurs cadres, chambranles et seuils, en aluminium (sauf pièces de garnissage)</v>
      </c>
      <c r="C9059">
        <v>6990958</v>
      </c>
      <c r="D9059">
        <v>26992</v>
      </c>
    </row>
    <row r="9060" spans="1:4" x14ac:dyDescent="0.25">
      <c r="A9060" t="str">
        <f>T("   841459")</f>
        <v xml:space="preserve">   841459</v>
      </c>
      <c r="B9060"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060">
        <v>2546701</v>
      </c>
      <c r="D9060">
        <v>14</v>
      </c>
    </row>
    <row r="9061" spans="1:4" x14ac:dyDescent="0.25">
      <c r="A9061" t="str">
        <f>T("   841490")</f>
        <v xml:space="preserve">   841490</v>
      </c>
      <c r="B906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9061">
        <v>673127</v>
      </c>
      <c r="D9061">
        <v>7</v>
      </c>
    </row>
    <row r="9062" spans="1:4" x14ac:dyDescent="0.25">
      <c r="A9062" t="str">
        <f>T("   842720")</f>
        <v xml:space="preserve">   842720</v>
      </c>
      <c r="B9062" t="str">
        <f>T("   Chariots de manutention autopropulsés, autres qu'à moteur électrique, avec dispositif de levage")</f>
        <v xml:space="preserve">   Chariots de manutention autopropulsés, autres qu'à moteur électrique, avec dispositif de levage</v>
      </c>
      <c r="C9062">
        <v>20151843</v>
      </c>
      <c r="D9062">
        <v>10000</v>
      </c>
    </row>
    <row r="9063" spans="1:4" x14ac:dyDescent="0.25">
      <c r="A9063" t="str">
        <f>T("   842940")</f>
        <v xml:space="preserve">   842940</v>
      </c>
      <c r="B9063" t="str">
        <f>T("   Rouleaux compresseurs et autres compacteuses, autopropulsés")</f>
        <v xml:space="preserve">   Rouleaux compresseurs et autres compacteuses, autopropulsés</v>
      </c>
      <c r="C9063">
        <v>14400000</v>
      </c>
      <c r="D9063">
        <v>2200</v>
      </c>
    </row>
    <row r="9064" spans="1:4" x14ac:dyDescent="0.25">
      <c r="A9064" t="str">
        <f>T("   843110")</f>
        <v xml:space="preserve">   843110</v>
      </c>
      <c r="B9064" t="str">
        <f>T("   Parties de palans; treuils, cabestans; crics et vérins, n.d.a.")</f>
        <v xml:space="preserve">   Parties de palans; treuils, cabestans; crics et vérins, n.d.a.</v>
      </c>
      <c r="C9064">
        <v>555373</v>
      </c>
      <c r="D9064">
        <v>66</v>
      </c>
    </row>
    <row r="9065" spans="1:4" x14ac:dyDescent="0.25">
      <c r="A9065" t="str">
        <f>T("   843120")</f>
        <v xml:space="preserve">   843120</v>
      </c>
      <c r="B9065" t="str">
        <f>T("   Parties de chariots-gerbeurs et autres chariots de manutention munis d'un dispositif de levage, n.d.a.")</f>
        <v xml:space="preserve">   Parties de chariots-gerbeurs et autres chariots de manutention munis d'un dispositif de levage, n.d.a.</v>
      </c>
      <c r="C9065">
        <v>17893385</v>
      </c>
      <c r="D9065">
        <v>117.3</v>
      </c>
    </row>
    <row r="9066" spans="1:4" x14ac:dyDescent="0.25">
      <c r="A9066" t="str">
        <f>T("   843139")</f>
        <v xml:space="preserve">   843139</v>
      </c>
      <c r="B9066" t="str">
        <f>T("   Parties de machines et appareils du n° 8428, n.d.a.")</f>
        <v xml:space="preserve">   Parties de machines et appareils du n° 8428, n.d.a.</v>
      </c>
      <c r="C9066">
        <v>61300393</v>
      </c>
      <c r="D9066">
        <v>2302.3000000000002</v>
      </c>
    </row>
    <row r="9067" spans="1:4" x14ac:dyDescent="0.25">
      <c r="A9067" t="str">
        <f>T("   843149")</f>
        <v xml:space="preserve">   843149</v>
      </c>
      <c r="B9067" t="str">
        <f>T("   Parties de machines et appareils du n° 8426, 8429 ou 8430, n.d.a.")</f>
        <v xml:space="preserve">   Parties de machines et appareils du n° 8426, 8429 ou 8430, n.d.a.</v>
      </c>
      <c r="C9067">
        <v>9851837</v>
      </c>
      <c r="D9067">
        <v>254.4</v>
      </c>
    </row>
    <row r="9068" spans="1:4" x14ac:dyDescent="0.25">
      <c r="A9068" t="str">
        <f>T("   847149")</f>
        <v xml:space="preserve">   847149</v>
      </c>
      <c r="B9068" t="s">
        <v>459</v>
      </c>
      <c r="C9068">
        <v>12852524</v>
      </c>
      <c r="D9068">
        <v>89</v>
      </c>
    </row>
    <row r="9069" spans="1:4" x14ac:dyDescent="0.25">
      <c r="A9069" t="str">
        <f>T("   847180")</f>
        <v xml:space="preserve">   847180</v>
      </c>
      <c r="B9069"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069">
        <v>4097593</v>
      </c>
      <c r="D9069">
        <v>13</v>
      </c>
    </row>
    <row r="9070" spans="1:4" x14ac:dyDescent="0.25">
      <c r="A9070" t="str">
        <f>T("   847190")</f>
        <v xml:space="preserve">   847190</v>
      </c>
      <c r="B907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070">
        <v>152910127</v>
      </c>
      <c r="D9070">
        <v>37.4</v>
      </c>
    </row>
    <row r="9071" spans="1:4" x14ac:dyDescent="0.25">
      <c r="A9071" t="str">
        <f>T("   847330")</f>
        <v xml:space="preserve">   847330</v>
      </c>
      <c r="B9071" t="str">
        <f>T("   Parties et accessoires pour machines automatiques de traitement de l'information ou pour autres machines du n° 8471, n.d.a.")</f>
        <v xml:space="preserve">   Parties et accessoires pour machines automatiques de traitement de l'information ou pour autres machines du n° 8471, n.d.a.</v>
      </c>
      <c r="C9071">
        <v>69456394</v>
      </c>
      <c r="D9071">
        <v>383</v>
      </c>
    </row>
    <row r="9072" spans="1:4" x14ac:dyDescent="0.25">
      <c r="A9072" t="str">
        <f>T("   850720")</f>
        <v xml:space="preserve">   850720</v>
      </c>
      <c r="B9072" t="str">
        <f>T("   Accumulateurs au plomb (sauf hors d'usage et autres que pour le démarrage des moteurs à piston)")</f>
        <v xml:space="preserve">   Accumulateurs au plomb (sauf hors d'usage et autres que pour le démarrage des moteurs à piston)</v>
      </c>
      <c r="C9072">
        <v>95329803</v>
      </c>
      <c r="D9072">
        <v>5484</v>
      </c>
    </row>
    <row r="9073" spans="1:4" x14ac:dyDescent="0.25">
      <c r="A9073" t="str">
        <f>T("   850780")</f>
        <v xml:space="preserve">   850780</v>
      </c>
      <c r="B9073" t="str">
        <f>T("   Accumulateurs électriques (sauf hors d'usage et autres qu'au plomb, au nickel-cadmium ou au nickel-fer)")</f>
        <v xml:space="preserve">   Accumulateurs électriques (sauf hors d'usage et autres qu'au plomb, au nickel-cadmium ou au nickel-fer)</v>
      </c>
      <c r="C9073">
        <v>113464829</v>
      </c>
      <c r="D9073">
        <v>7569</v>
      </c>
    </row>
    <row r="9074" spans="1:4" x14ac:dyDescent="0.25">
      <c r="A9074" t="str">
        <f>T("   851110")</f>
        <v xml:space="preserve">   851110</v>
      </c>
      <c r="B9074" t="str">
        <f>T("   Bougies d'allumage pour moteurs à allumage par étincelles ou par compression")</f>
        <v xml:space="preserve">   Bougies d'allumage pour moteurs à allumage par étincelles ou par compression</v>
      </c>
      <c r="C9074">
        <v>256638</v>
      </c>
      <c r="D9074">
        <v>0.4</v>
      </c>
    </row>
    <row r="9075" spans="1:4" x14ac:dyDescent="0.25">
      <c r="A9075" t="str">
        <f>T("   851690")</f>
        <v xml:space="preserve">   851690</v>
      </c>
      <c r="B9075"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9075">
        <v>42110706</v>
      </c>
      <c r="D9075">
        <v>2092</v>
      </c>
    </row>
    <row r="9076" spans="1:4" x14ac:dyDescent="0.25">
      <c r="A9076" t="str">
        <f>T("   851712")</f>
        <v xml:space="preserve">   851712</v>
      </c>
      <c r="B9076" t="str">
        <f>T("   TÉLÉPHONES POUR RÉSEAUX CELLULAIRES [TÉLÉPHONES MOBILES] ET POUR AUTRES RÉSEAUX SANS FIL")</f>
        <v xml:space="preserve">   TÉLÉPHONES POUR RÉSEAUX CELLULAIRES [TÉLÉPHONES MOBILES] ET POUR AUTRES RÉSEAUX SANS FIL</v>
      </c>
      <c r="C9076">
        <v>1247971844</v>
      </c>
      <c r="D9076">
        <v>42628</v>
      </c>
    </row>
    <row r="9077" spans="1:4" x14ac:dyDescent="0.25">
      <c r="A9077" t="str">
        <f>T("   851718")</f>
        <v xml:space="preserve">   851718</v>
      </c>
      <c r="B9077"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9077">
        <v>10034323</v>
      </c>
      <c r="D9077">
        <v>207.5</v>
      </c>
    </row>
    <row r="9078" spans="1:4" x14ac:dyDescent="0.25">
      <c r="A9078" t="str">
        <f>T("   851750")</f>
        <v xml:space="preserve">   851750</v>
      </c>
      <c r="B9078" t="s">
        <v>479</v>
      </c>
      <c r="C9078">
        <v>188244293</v>
      </c>
      <c r="D9078">
        <v>3357</v>
      </c>
    </row>
    <row r="9079" spans="1:4" x14ac:dyDescent="0.25">
      <c r="A9079" t="str">
        <f>T("   851762")</f>
        <v xml:space="preserve">   851762</v>
      </c>
      <c r="B9079" t="s">
        <v>480</v>
      </c>
      <c r="C9079">
        <v>895237009</v>
      </c>
      <c r="D9079">
        <v>21089</v>
      </c>
    </row>
    <row r="9080" spans="1:4" x14ac:dyDescent="0.25">
      <c r="A9080" t="str">
        <f>T("   851769")</f>
        <v xml:space="preserve">   851769</v>
      </c>
      <c r="B9080" t="s">
        <v>481</v>
      </c>
      <c r="C9080">
        <v>7425861104</v>
      </c>
      <c r="D9080">
        <v>261462.2</v>
      </c>
    </row>
    <row r="9081" spans="1:4" x14ac:dyDescent="0.25">
      <c r="A9081" t="str">
        <f>T("   851770")</f>
        <v xml:space="preserve">   851770</v>
      </c>
      <c r="B9081"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081">
        <v>2120955946</v>
      </c>
      <c r="D9081">
        <v>97122.12</v>
      </c>
    </row>
    <row r="9082" spans="1:4" x14ac:dyDescent="0.25">
      <c r="A9082" t="str">
        <f>T("   851790")</f>
        <v xml:space="preserve">   851790</v>
      </c>
      <c r="B9082" t="s">
        <v>483</v>
      </c>
      <c r="C9082">
        <v>90064592</v>
      </c>
      <c r="D9082">
        <v>3770</v>
      </c>
    </row>
    <row r="9083" spans="1:4" x14ac:dyDescent="0.25">
      <c r="A9083" t="str">
        <f>T("   852380")</f>
        <v xml:space="preserve">   852380</v>
      </c>
      <c r="B9083" t="s">
        <v>490</v>
      </c>
      <c r="C9083">
        <v>1431218105</v>
      </c>
      <c r="D9083">
        <v>1.03</v>
      </c>
    </row>
    <row r="9084" spans="1:4" x14ac:dyDescent="0.25">
      <c r="A9084" t="str">
        <f>T("   852910")</f>
        <v xml:space="preserve">   852910</v>
      </c>
      <c r="B908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084">
        <v>284963325</v>
      </c>
      <c r="D9084">
        <v>14829</v>
      </c>
    </row>
    <row r="9085" spans="1:4" x14ac:dyDescent="0.25">
      <c r="A9085" t="str">
        <f>T("   852990")</f>
        <v xml:space="preserve">   852990</v>
      </c>
      <c r="B9085" t="s">
        <v>496</v>
      </c>
      <c r="C9085">
        <v>18537160</v>
      </c>
      <c r="D9085">
        <v>1970</v>
      </c>
    </row>
    <row r="9086" spans="1:4" x14ac:dyDescent="0.25">
      <c r="A9086" t="str">
        <f>T("   853690")</f>
        <v xml:space="preserve">   853690</v>
      </c>
      <c r="B9086" t="s">
        <v>499</v>
      </c>
      <c r="C9086">
        <v>1304810</v>
      </c>
      <c r="D9086">
        <v>11.25</v>
      </c>
    </row>
    <row r="9087" spans="1:4" x14ac:dyDescent="0.25">
      <c r="A9087" t="str">
        <f>T("   853720")</f>
        <v xml:space="preserve">   853720</v>
      </c>
      <c r="B908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087">
        <v>24526344</v>
      </c>
      <c r="D9087">
        <v>2701</v>
      </c>
    </row>
    <row r="9088" spans="1:4" x14ac:dyDescent="0.25">
      <c r="A9088" t="str">
        <f>T("   853910")</f>
        <v xml:space="preserve">   853910</v>
      </c>
      <c r="B9088" t="str">
        <f>T("   Phares et projecteurs scellés")</f>
        <v xml:space="preserve">   Phares et projecteurs scellés</v>
      </c>
      <c r="C9088">
        <v>349364</v>
      </c>
      <c r="D9088">
        <v>8.3000000000000007</v>
      </c>
    </row>
    <row r="9089" spans="1:4" x14ac:dyDescent="0.25">
      <c r="A9089" t="str">
        <f>T("   853939")</f>
        <v xml:space="preserve">   853939</v>
      </c>
      <c r="B908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089">
        <v>2065350</v>
      </c>
      <c r="D9089">
        <v>18734</v>
      </c>
    </row>
    <row r="9090" spans="1:4" x14ac:dyDescent="0.25">
      <c r="A9090" t="str">
        <f>T("   854420")</f>
        <v xml:space="preserve">   854420</v>
      </c>
      <c r="B9090" t="str">
        <f>T("   Câbles coaxiaux et autres conducteurs électriques coaxiaux, isolés")</f>
        <v xml:space="preserve">   Câbles coaxiaux et autres conducteurs électriques coaxiaux, isolés</v>
      </c>
      <c r="C9090">
        <v>41567107</v>
      </c>
      <c r="D9090">
        <v>6893.85</v>
      </c>
    </row>
    <row r="9091" spans="1:4" x14ac:dyDescent="0.25">
      <c r="A9091" t="str">
        <f>T("   854442")</f>
        <v xml:space="preserve">   854442</v>
      </c>
      <c r="B9091" t="str">
        <f>T("   CONDUCTEURS ÉLECTRIQUES, POUR TENSION &lt;= 1.000 V, ISOLÉS, AVEC PIÈCES DE CONNEXION, N.D.A.")</f>
        <v xml:space="preserve">   CONDUCTEURS ÉLECTRIQUES, POUR TENSION &lt;= 1.000 V, ISOLÉS, AVEC PIÈCES DE CONNEXION, N.D.A.</v>
      </c>
      <c r="C9091">
        <v>240326493</v>
      </c>
      <c r="D9091">
        <v>13458.3</v>
      </c>
    </row>
    <row r="9092" spans="1:4" x14ac:dyDescent="0.25">
      <c r="A9092" t="str">
        <f>T("   854449")</f>
        <v xml:space="preserve">   854449</v>
      </c>
      <c r="B9092" t="str">
        <f>T("   CONDUCTEURS ÉLECTRIQUES, POUR TENSION &lt;= 1.000 V, ISOLÉS, SANS PIÈCES DE CONNEXION, N.D.A.")</f>
        <v xml:space="preserve">   CONDUCTEURS ÉLECTRIQUES, POUR TENSION &lt;= 1.000 V, ISOLÉS, SANS PIÈCES DE CONNEXION, N.D.A.</v>
      </c>
      <c r="C9092">
        <v>318759433</v>
      </c>
      <c r="D9092">
        <v>20358</v>
      </c>
    </row>
    <row r="9093" spans="1:4" x14ac:dyDescent="0.25">
      <c r="A9093" t="str">
        <f>T("   854470")</f>
        <v xml:space="preserve">   854470</v>
      </c>
      <c r="B9093"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9093">
        <v>2114584</v>
      </c>
      <c r="D9093">
        <v>117</v>
      </c>
    </row>
    <row r="9094" spans="1:4" x14ac:dyDescent="0.25">
      <c r="A9094" t="str">
        <f>T("   860721")</f>
        <v xml:space="preserve">   860721</v>
      </c>
      <c r="B9094" t="str">
        <f>T("   Freins à air comprimé, de véhicules pour voies ferrées ou simil., leurs parties, n.d.a.")</f>
        <v xml:space="preserve">   Freins à air comprimé, de véhicules pour voies ferrées ou simil., leurs parties, n.d.a.</v>
      </c>
      <c r="C9094">
        <v>271738</v>
      </c>
      <c r="D9094">
        <v>27</v>
      </c>
    </row>
    <row r="9095" spans="1:4" x14ac:dyDescent="0.25">
      <c r="A9095" t="str">
        <f>T("   870323")</f>
        <v xml:space="preserve">   870323</v>
      </c>
      <c r="B9095" t="s">
        <v>507</v>
      </c>
      <c r="C9095">
        <v>17142606</v>
      </c>
      <c r="D9095">
        <v>4295</v>
      </c>
    </row>
    <row r="9096" spans="1:4" x14ac:dyDescent="0.25">
      <c r="A9096" t="str">
        <f>T("   870423")</f>
        <v xml:space="preserve">   870423</v>
      </c>
      <c r="B9096" t="s">
        <v>514</v>
      </c>
      <c r="C9096">
        <v>2211914</v>
      </c>
      <c r="D9096">
        <v>8840</v>
      </c>
    </row>
    <row r="9097" spans="1:4" x14ac:dyDescent="0.25">
      <c r="A9097" t="str">
        <f>T("   870899")</f>
        <v xml:space="preserve">   870899</v>
      </c>
      <c r="B909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097">
        <v>6431327</v>
      </c>
      <c r="D9097">
        <v>800</v>
      </c>
    </row>
    <row r="9098" spans="1:4" x14ac:dyDescent="0.25">
      <c r="A9098" t="str">
        <f>T("   902750")</f>
        <v xml:space="preserve">   902750</v>
      </c>
      <c r="B9098"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9098">
        <v>400794840</v>
      </c>
      <c r="D9098">
        <v>1402</v>
      </c>
    </row>
    <row r="9099" spans="1:4" x14ac:dyDescent="0.25">
      <c r="A9099" t="str">
        <f>T("SG")</f>
        <v>SG</v>
      </c>
      <c r="B9099" t="str">
        <f>T("Singapour")</f>
        <v>Singapour</v>
      </c>
    </row>
    <row r="9100" spans="1:4" x14ac:dyDescent="0.25">
      <c r="A9100" t="str">
        <f>T("   ZZ_Total_Produit_SH6")</f>
        <v xml:space="preserve">   ZZ_Total_Produit_SH6</v>
      </c>
      <c r="B9100" t="str">
        <f>T("   ZZ_Total_Produit_SH6")</f>
        <v xml:space="preserve">   ZZ_Total_Produit_SH6</v>
      </c>
      <c r="C9100">
        <v>43045099200.234001</v>
      </c>
      <c r="D9100">
        <v>67284731.540000007</v>
      </c>
    </row>
    <row r="9101" spans="1:4" x14ac:dyDescent="0.25">
      <c r="A9101" t="str">
        <f>T("   040210")</f>
        <v xml:space="preserve">   040210</v>
      </c>
      <c r="B9101"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9101">
        <v>332363866</v>
      </c>
      <c r="D9101">
        <v>347300</v>
      </c>
    </row>
    <row r="9102" spans="1:4" x14ac:dyDescent="0.25">
      <c r="A9102" t="str">
        <f>T("   100610")</f>
        <v xml:space="preserve">   100610</v>
      </c>
      <c r="B9102" t="str">
        <f>T("   Riz en paille [riz paddy]")</f>
        <v xml:space="preserve">   Riz en paille [riz paddy]</v>
      </c>
      <c r="C9102">
        <v>39601620</v>
      </c>
      <c r="D9102">
        <v>396000</v>
      </c>
    </row>
    <row r="9103" spans="1:4" x14ac:dyDescent="0.25">
      <c r="A9103" t="str">
        <f>T("   100620")</f>
        <v xml:space="preserve">   100620</v>
      </c>
      <c r="B9103" t="str">
        <f>T("   Riz décortiqué [riz cargo ou riz brun]")</f>
        <v xml:space="preserve">   Riz décortiqué [riz cargo ou riz brun]</v>
      </c>
      <c r="C9103">
        <v>351928868.45700002</v>
      </c>
      <c r="D9103">
        <v>1052150</v>
      </c>
    </row>
    <row r="9104" spans="1:4" x14ac:dyDescent="0.25">
      <c r="A9104" t="str">
        <f>T("   100630")</f>
        <v xml:space="preserve">   100630</v>
      </c>
      <c r="B9104" t="str">
        <f>T("   Riz semi-blanchi ou blanchi, même poli ou glacé")</f>
        <v xml:space="preserve">   Riz semi-blanchi ou blanchi, même poli ou glacé</v>
      </c>
      <c r="C9104">
        <v>2787073973.6139998</v>
      </c>
      <c r="D9104">
        <v>10064918</v>
      </c>
    </row>
    <row r="9105" spans="1:4" x14ac:dyDescent="0.25">
      <c r="A9105" t="str">
        <f>T("   100640")</f>
        <v xml:space="preserve">   100640</v>
      </c>
      <c r="B9105" t="str">
        <f>T("   Riz en brisures")</f>
        <v xml:space="preserve">   Riz en brisures</v>
      </c>
      <c r="C9105">
        <v>1940633902.97</v>
      </c>
      <c r="D9105">
        <v>17718575</v>
      </c>
    </row>
    <row r="9106" spans="1:4" x14ac:dyDescent="0.25">
      <c r="A9106" t="str">
        <f>T("   150890")</f>
        <v xml:space="preserve">   150890</v>
      </c>
      <c r="B9106" t="str">
        <f>T("   Huile d'arachide et ses fractions, même raffinées, mais non chimiquement modifiées (à l'excl. de l'huile d'arachide brute)")</f>
        <v xml:space="preserve">   Huile d'arachide et ses fractions, même raffinées, mais non chimiquement modifiées (à l'excl. de l'huile d'arachide brute)</v>
      </c>
      <c r="C9106">
        <v>837501736.09099996</v>
      </c>
      <c r="D9106">
        <v>2136620</v>
      </c>
    </row>
    <row r="9107" spans="1:4" x14ac:dyDescent="0.25">
      <c r="A9107" t="str">
        <f>T("   151110")</f>
        <v xml:space="preserve">   151110</v>
      </c>
      <c r="B9107" t="str">
        <f>T("   Huile de palme, brute")</f>
        <v xml:space="preserve">   Huile de palme, brute</v>
      </c>
      <c r="C9107">
        <v>60500000</v>
      </c>
      <c r="D9107">
        <v>242000</v>
      </c>
    </row>
    <row r="9108" spans="1:4" x14ac:dyDescent="0.25">
      <c r="A9108" t="str">
        <f>T("   151190")</f>
        <v xml:space="preserve">   151190</v>
      </c>
      <c r="B9108" t="str">
        <f>T("   Huile de palme et ses fractions, même raffinées, mais non chimiquement modifiées (à l'excl. de l'huile de palme brute)")</f>
        <v xml:space="preserve">   Huile de palme et ses fractions, même raffinées, mais non chimiquement modifiées (à l'excl. de l'huile de palme brute)</v>
      </c>
      <c r="C9108">
        <v>5094964348.4449997</v>
      </c>
      <c r="D9108">
        <v>13725264</v>
      </c>
    </row>
    <row r="9109" spans="1:4" x14ac:dyDescent="0.25">
      <c r="A9109" t="str">
        <f>T("   151620")</f>
        <v xml:space="preserve">   151620</v>
      </c>
      <c r="B910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109">
        <v>1257873271</v>
      </c>
      <c r="D9109">
        <v>4961299</v>
      </c>
    </row>
    <row r="9110" spans="1:4" x14ac:dyDescent="0.25">
      <c r="A9110" t="str">
        <f>T("   151710")</f>
        <v xml:space="preserve">   151710</v>
      </c>
      <c r="B9110" t="str">
        <f>T("   Margarine (à l'excl. de la margarine liquide)")</f>
        <v xml:space="preserve">   Margarine (à l'excl. de la margarine liquide)</v>
      </c>
      <c r="C9110">
        <v>19106835</v>
      </c>
      <c r="D9110">
        <v>82782</v>
      </c>
    </row>
    <row r="9111" spans="1:4" x14ac:dyDescent="0.25">
      <c r="A9111" t="str">
        <f>T("   151790")</f>
        <v xml:space="preserve">   151790</v>
      </c>
      <c r="B9111" t="s">
        <v>38</v>
      </c>
      <c r="C9111">
        <v>4600000</v>
      </c>
      <c r="D9111">
        <v>38619</v>
      </c>
    </row>
    <row r="9112" spans="1:4" x14ac:dyDescent="0.25">
      <c r="A9112" t="str">
        <f>T("   160413")</f>
        <v xml:space="preserve">   160413</v>
      </c>
      <c r="B9112"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9112">
        <v>13544514</v>
      </c>
      <c r="D9112">
        <v>60000</v>
      </c>
    </row>
    <row r="9113" spans="1:4" x14ac:dyDescent="0.25">
      <c r="A9113" t="str">
        <f>T("   170191")</f>
        <v xml:space="preserve">   170191</v>
      </c>
      <c r="B9113" t="str">
        <f>T("   Sucres de canne ou de betterave, à l'état solide, additionnés d'aromatisants ou de colorants")</f>
        <v xml:space="preserve">   Sucres de canne ou de betterave, à l'état solide, additionnés d'aromatisants ou de colorants</v>
      </c>
      <c r="C9113">
        <v>269229105.91100001</v>
      </c>
      <c r="D9113">
        <v>1363477</v>
      </c>
    </row>
    <row r="9114" spans="1:4" x14ac:dyDescent="0.25">
      <c r="A9114" t="str">
        <f>T("   170199")</f>
        <v xml:space="preserve">   170199</v>
      </c>
      <c r="B9114"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114">
        <v>135439621.74599999</v>
      </c>
      <c r="D9114">
        <v>600810</v>
      </c>
    </row>
    <row r="9115" spans="1:4" x14ac:dyDescent="0.25">
      <c r="A9115" t="str">
        <f>T("   170290")</f>
        <v xml:space="preserve">   170290</v>
      </c>
      <c r="B9115" t="s">
        <v>46</v>
      </c>
      <c r="C9115">
        <v>78000000</v>
      </c>
      <c r="D9115">
        <v>650000</v>
      </c>
    </row>
    <row r="9116" spans="1:4" x14ac:dyDescent="0.25">
      <c r="A9116" t="str">
        <f>T("   170490")</f>
        <v xml:space="preserve">   170490</v>
      </c>
      <c r="B9116" t="str">
        <f>T("   Sucreries sans cacao, y.c. le chocolat blanc (à l'excl. des gommes à mâcher)")</f>
        <v xml:space="preserve">   Sucreries sans cacao, y.c. le chocolat blanc (à l'excl. des gommes à mâcher)</v>
      </c>
      <c r="C9116">
        <v>38669342</v>
      </c>
      <c r="D9116">
        <v>271003</v>
      </c>
    </row>
    <row r="9117" spans="1:4" x14ac:dyDescent="0.25">
      <c r="A9117" t="str">
        <f>T("   180620")</f>
        <v xml:space="preserve">   180620</v>
      </c>
      <c r="B9117" t="s">
        <v>47</v>
      </c>
      <c r="C9117">
        <v>2150000</v>
      </c>
      <c r="D9117">
        <v>11687</v>
      </c>
    </row>
    <row r="9118" spans="1:4" x14ac:dyDescent="0.25">
      <c r="A9118" t="str">
        <f>T("   190190")</f>
        <v xml:space="preserve">   190190</v>
      </c>
      <c r="B9118" t="s">
        <v>50</v>
      </c>
      <c r="C9118">
        <v>87510768</v>
      </c>
      <c r="D9118">
        <v>451096</v>
      </c>
    </row>
    <row r="9119" spans="1:4" x14ac:dyDescent="0.25">
      <c r="A9119" t="str">
        <f>T("   190219")</f>
        <v xml:space="preserve">   190219</v>
      </c>
      <c r="B9119" t="str">
        <f>T("   PÂTES ALIMENTAIRES NON-CUITES NI FARCIES NI AUTREMENT PRÉPARÉES, NE CONTENANT PAS D'OEUFS")</f>
        <v xml:space="preserve">   PÂTES ALIMENTAIRES NON-CUITES NI FARCIES NI AUTREMENT PRÉPARÉES, NE CONTENANT PAS D'OEUFS</v>
      </c>
      <c r="C9119">
        <v>160291004</v>
      </c>
      <c r="D9119">
        <v>1044470</v>
      </c>
    </row>
    <row r="9120" spans="1:4" x14ac:dyDescent="0.25">
      <c r="A9120" t="str">
        <f>T("   190230")</f>
        <v xml:space="preserve">   190230</v>
      </c>
      <c r="B9120" t="str">
        <f>T("   Pâtes alimentaires, cuites ou autrement préparées (à l'excl. des pâtes alimentaires farcies)")</f>
        <v xml:space="preserve">   Pâtes alimentaires, cuites ou autrement préparées (à l'excl. des pâtes alimentaires farcies)</v>
      </c>
      <c r="C9120">
        <v>300783682</v>
      </c>
      <c r="D9120">
        <v>1903106</v>
      </c>
    </row>
    <row r="9121" spans="1:4" x14ac:dyDescent="0.25">
      <c r="A9121" t="str">
        <f>T("   200290")</f>
        <v xml:space="preserve">   200290</v>
      </c>
      <c r="B912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121">
        <v>38904000</v>
      </c>
      <c r="D9121">
        <v>132513</v>
      </c>
    </row>
    <row r="9122" spans="1:4" x14ac:dyDescent="0.25">
      <c r="A9122" t="str">
        <f>T("   200540")</f>
        <v xml:space="preserve">   200540</v>
      </c>
      <c r="B9122" t="str">
        <f>T("   Pois [Pisum sativum], préparés ou conservés autrement qu'au vinaigre ou à l'acide acétique, non congelés")</f>
        <v xml:space="preserve">   Pois [Pisum sativum], préparés ou conservés autrement qu'au vinaigre ou à l'acide acétique, non congelés</v>
      </c>
      <c r="C9122">
        <v>4321989</v>
      </c>
      <c r="D9122">
        <v>22440</v>
      </c>
    </row>
    <row r="9123" spans="1:4" x14ac:dyDescent="0.25">
      <c r="A9123" t="str">
        <f>T("   210330")</f>
        <v xml:space="preserve">   210330</v>
      </c>
      <c r="B9123" t="str">
        <f>T("   Farine de moutarde et moutarde préparée")</f>
        <v xml:space="preserve">   Farine de moutarde et moutarde préparée</v>
      </c>
      <c r="C9123">
        <v>4321989</v>
      </c>
      <c r="D9123">
        <v>19579</v>
      </c>
    </row>
    <row r="9124" spans="1:4" x14ac:dyDescent="0.25">
      <c r="A9124" t="str">
        <f>T("   220290")</f>
        <v xml:space="preserve">   220290</v>
      </c>
      <c r="B9124" t="str">
        <f>T("   BOISSONS NON-ALCOOLIQUES (À L'EXCL. DES EAUX, DES JUS DE FRUITS OU DE LÉGUMES AINSI QUE DU LAIT)")</f>
        <v xml:space="preserve">   BOISSONS NON-ALCOOLIQUES (À L'EXCL. DES EAUX, DES JUS DE FRUITS OU DE LÉGUMES AINSI QUE DU LAIT)</v>
      </c>
      <c r="C9124">
        <v>5302000</v>
      </c>
      <c r="D9124">
        <v>42300</v>
      </c>
    </row>
    <row r="9125" spans="1:4" x14ac:dyDescent="0.25">
      <c r="A9125" t="str">
        <f>T("   220830")</f>
        <v xml:space="preserve">   220830</v>
      </c>
      <c r="B9125" t="str">
        <f>T("   Whiskies")</f>
        <v xml:space="preserve">   Whiskies</v>
      </c>
      <c r="C9125">
        <v>9784984</v>
      </c>
      <c r="D9125">
        <v>36659</v>
      </c>
    </row>
    <row r="9126" spans="1:4" x14ac:dyDescent="0.25">
      <c r="A9126" t="str">
        <f>T("   220890")</f>
        <v xml:space="preserve">   220890</v>
      </c>
      <c r="B9126" t="s">
        <v>61</v>
      </c>
      <c r="C9126">
        <v>9783204</v>
      </c>
      <c r="D9126">
        <v>37280</v>
      </c>
    </row>
    <row r="9127" spans="1:4" x14ac:dyDescent="0.25">
      <c r="A9127" t="str">
        <f>T("   271019")</f>
        <v xml:space="preserve">   271019</v>
      </c>
      <c r="B9127" t="str">
        <f>T("   Huiles moyennes et préparations, de pétrole ou de minéraux bitumineux, n.d.a.")</f>
        <v xml:space="preserve">   Huiles moyennes et préparations, de pétrole ou de minéraux bitumineux, n.d.a.</v>
      </c>
      <c r="C9127">
        <v>26743470</v>
      </c>
      <c r="D9127">
        <v>29409</v>
      </c>
    </row>
    <row r="9128" spans="1:4" x14ac:dyDescent="0.25">
      <c r="A9128" t="str">
        <f>T("   321519")</f>
        <v xml:space="preserve">   321519</v>
      </c>
      <c r="B9128" t="str">
        <f>T("   Encres d'imprimerie, même concentrées ou sous formes solides (à l'excl. des encres noires)")</f>
        <v xml:space="preserve">   Encres d'imprimerie, même concentrées ou sous formes solides (à l'excl. des encres noires)</v>
      </c>
      <c r="C9128">
        <v>649839</v>
      </c>
      <c r="D9128">
        <v>672</v>
      </c>
    </row>
    <row r="9129" spans="1:4" x14ac:dyDescent="0.25">
      <c r="A9129" t="str">
        <f>T("   321590")</f>
        <v xml:space="preserve">   321590</v>
      </c>
      <c r="B9129" t="str">
        <f>T("   Encres à écrire et à dessiner, même concentrées ou sous formes solides")</f>
        <v xml:space="preserve">   Encres à écrire et à dessiner, même concentrées ou sous formes solides</v>
      </c>
      <c r="C9129">
        <v>1042099</v>
      </c>
      <c r="D9129">
        <v>1162</v>
      </c>
    </row>
    <row r="9130" spans="1:4" x14ac:dyDescent="0.25">
      <c r="A9130" t="str">
        <f>T("   330300")</f>
        <v xml:space="preserve">   330300</v>
      </c>
      <c r="B9130"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130">
        <v>1390222</v>
      </c>
      <c r="D9130">
        <v>2502</v>
      </c>
    </row>
    <row r="9131" spans="1:4" x14ac:dyDescent="0.25">
      <c r="A9131" t="str">
        <f>T("   340111")</f>
        <v xml:space="preserve">   340111</v>
      </c>
      <c r="B9131" t="s">
        <v>107</v>
      </c>
      <c r="C9131">
        <v>139564374</v>
      </c>
      <c r="D9131">
        <v>733291</v>
      </c>
    </row>
    <row r="9132" spans="1:4" x14ac:dyDescent="0.25">
      <c r="A9132" t="str">
        <f>T("   340119")</f>
        <v xml:space="preserve">   340119</v>
      </c>
      <c r="B9132" t="s">
        <v>108</v>
      </c>
      <c r="C9132">
        <v>88312933</v>
      </c>
      <c r="D9132">
        <v>326672</v>
      </c>
    </row>
    <row r="9133" spans="1:4" x14ac:dyDescent="0.25">
      <c r="A9133" t="str">
        <f>T("   340219")</f>
        <v xml:space="preserve">   340219</v>
      </c>
      <c r="B9133"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9133">
        <v>239310300</v>
      </c>
      <c r="D9133">
        <v>659974</v>
      </c>
    </row>
    <row r="9134" spans="1:4" x14ac:dyDescent="0.25">
      <c r="A9134" t="str">
        <f>T("   350610")</f>
        <v xml:space="preserve">   350610</v>
      </c>
      <c r="B913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9134">
        <v>7009220</v>
      </c>
      <c r="D9134">
        <v>26699</v>
      </c>
    </row>
    <row r="9135" spans="1:4" x14ac:dyDescent="0.25">
      <c r="A9135" t="str">
        <f>T("   360500")</f>
        <v xml:space="preserve">   360500</v>
      </c>
      <c r="B9135" t="str">
        <f>T("   Allumettes (autres que les articles de pyrotechnie du n° 3604)")</f>
        <v xml:space="preserve">   Allumettes (autres que les articles de pyrotechnie du n° 3604)</v>
      </c>
      <c r="C9135">
        <v>7645214</v>
      </c>
      <c r="D9135">
        <v>18975</v>
      </c>
    </row>
    <row r="9136" spans="1:4" x14ac:dyDescent="0.25">
      <c r="A9136" t="str">
        <f>T("   370590")</f>
        <v xml:space="preserve">   370590</v>
      </c>
      <c r="B9136"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9136">
        <v>1144275</v>
      </c>
      <c r="D9136">
        <v>1326</v>
      </c>
    </row>
    <row r="9137" spans="1:4" x14ac:dyDescent="0.25">
      <c r="A9137" t="str">
        <f>T("   391910")</f>
        <v xml:space="preserve">   391910</v>
      </c>
      <c r="B9137"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9137">
        <v>40644887</v>
      </c>
      <c r="D9137">
        <v>32292</v>
      </c>
    </row>
    <row r="9138" spans="1:4" x14ac:dyDescent="0.25">
      <c r="A9138" t="str">
        <f>T("   391990")</f>
        <v xml:space="preserve">   391990</v>
      </c>
      <c r="B9138" t="s">
        <v>139</v>
      </c>
      <c r="C9138">
        <v>3202</v>
      </c>
      <c r="D9138">
        <v>2</v>
      </c>
    </row>
    <row r="9139" spans="1:4" x14ac:dyDescent="0.25">
      <c r="A9139" t="str">
        <f>T("   392049")</f>
        <v xml:space="preserve">   392049</v>
      </c>
      <c r="B9139" t="s">
        <v>143</v>
      </c>
      <c r="C9139">
        <v>114994</v>
      </c>
      <c r="D9139">
        <v>58</v>
      </c>
    </row>
    <row r="9140" spans="1:4" x14ac:dyDescent="0.25">
      <c r="A9140" t="str">
        <f>T("   392329")</f>
        <v xml:space="preserve">   392329</v>
      </c>
      <c r="B9140" t="str">
        <f>T("   Sacs, sachets, pochettes et cornets, en matières plastiques (autres que les polymères de l'éthylène)")</f>
        <v xml:space="preserve">   Sacs, sachets, pochettes et cornets, en matières plastiques (autres que les polymères de l'éthylène)</v>
      </c>
      <c r="C9140">
        <v>254939</v>
      </c>
      <c r="D9140">
        <v>59</v>
      </c>
    </row>
    <row r="9141" spans="1:4" x14ac:dyDescent="0.25">
      <c r="A9141" t="str">
        <f>T("   392410")</f>
        <v xml:space="preserve">   392410</v>
      </c>
      <c r="B9141" t="str">
        <f>T("   Vaisselle et autres articles pour le service de la table ou de la cuisine, en matières plastiques")</f>
        <v xml:space="preserve">   Vaisselle et autres articles pour le service de la table ou de la cuisine, en matières plastiques</v>
      </c>
      <c r="C9141">
        <v>12101567</v>
      </c>
      <c r="D9141">
        <v>13696</v>
      </c>
    </row>
    <row r="9142" spans="1:4" x14ac:dyDescent="0.25">
      <c r="A9142" t="str">
        <f>T("   392610")</f>
        <v xml:space="preserve">   392610</v>
      </c>
      <c r="B9142" t="str">
        <f>T("   Articles de bureau et articles scolaires, en matières plastiques, n.d.a.")</f>
        <v xml:space="preserve">   Articles de bureau et articles scolaires, en matières plastiques, n.d.a.</v>
      </c>
      <c r="C9142">
        <v>44429885</v>
      </c>
      <c r="D9142">
        <v>79261.759999999995</v>
      </c>
    </row>
    <row r="9143" spans="1:4" x14ac:dyDescent="0.25">
      <c r="A9143" t="str">
        <f>T("   392690")</f>
        <v xml:space="preserve">   392690</v>
      </c>
      <c r="B9143" t="str">
        <f>T("   Ouvrages en matières plastiques et ouvrages en autres matières du n° 3901 à 3914, n.d.a.")</f>
        <v xml:space="preserve">   Ouvrages en matières plastiques et ouvrages en autres matières du n° 3901 à 3914, n.d.a.</v>
      </c>
      <c r="C9143">
        <v>3085599</v>
      </c>
      <c r="D9143">
        <v>8021</v>
      </c>
    </row>
    <row r="9144" spans="1:4" x14ac:dyDescent="0.25">
      <c r="A9144" t="str">
        <f>T("   401120")</f>
        <v xml:space="preserve">   401120</v>
      </c>
      <c r="B914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144">
        <v>21700000</v>
      </c>
      <c r="D9144">
        <v>20760</v>
      </c>
    </row>
    <row r="9145" spans="1:4" x14ac:dyDescent="0.25">
      <c r="A9145" t="str">
        <f>T("   401220")</f>
        <v xml:space="preserve">   401220</v>
      </c>
      <c r="B9145" t="str">
        <f>T("   Pneumatiques usagés, en caoutchouc")</f>
        <v xml:space="preserve">   Pneumatiques usagés, en caoutchouc</v>
      </c>
      <c r="C9145">
        <v>15342368</v>
      </c>
      <c r="D9145">
        <v>70469</v>
      </c>
    </row>
    <row r="9146" spans="1:4" x14ac:dyDescent="0.25">
      <c r="A9146" t="str">
        <f>T("   401310")</f>
        <v xml:space="preserve">   401310</v>
      </c>
      <c r="B9146"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9146">
        <v>2936715</v>
      </c>
      <c r="D9146">
        <v>13481</v>
      </c>
    </row>
    <row r="9147" spans="1:4" x14ac:dyDescent="0.25">
      <c r="A9147" t="str">
        <f>T("   401692")</f>
        <v xml:space="preserve">   401692</v>
      </c>
      <c r="B9147"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9147">
        <v>1343501</v>
      </c>
      <c r="D9147">
        <v>1560</v>
      </c>
    </row>
    <row r="9148" spans="1:4" x14ac:dyDescent="0.25">
      <c r="A9148" t="str">
        <f>T("   420229")</f>
        <v xml:space="preserve">   420229</v>
      </c>
      <c r="B914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148">
        <v>825812</v>
      </c>
      <c r="D9148">
        <v>5665</v>
      </c>
    </row>
    <row r="9149" spans="1:4" x14ac:dyDescent="0.25">
      <c r="A9149" t="str">
        <f>T("   441231")</f>
        <v xml:space="preserve">   441231</v>
      </c>
      <c r="B9149" t="s">
        <v>195</v>
      </c>
      <c r="C9149">
        <v>8193194</v>
      </c>
      <c r="D9149">
        <v>26500</v>
      </c>
    </row>
    <row r="9150" spans="1:4" x14ac:dyDescent="0.25">
      <c r="A9150" t="str">
        <f>T("   480100")</f>
        <v xml:space="preserve">   480100</v>
      </c>
      <c r="B9150"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150">
        <v>9631863</v>
      </c>
      <c r="D9150">
        <v>36725</v>
      </c>
    </row>
    <row r="9151" spans="1:4" x14ac:dyDescent="0.25">
      <c r="A9151" t="str">
        <f>T("   480210")</f>
        <v xml:space="preserve">   480210</v>
      </c>
      <c r="B9151" t="str">
        <f>T("   Papiers et cartons formés feuille à feuille [papiers à la main], de tout format et de toute forme")</f>
        <v xml:space="preserve">   Papiers et cartons formés feuille à feuille [papiers à la main], de tout format et de toute forme</v>
      </c>
      <c r="C9151">
        <v>233097694</v>
      </c>
      <c r="D9151">
        <v>764133.4</v>
      </c>
    </row>
    <row r="9152" spans="1:4" x14ac:dyDescent="0.25">
      <c r="A9152" t="str">
        <f>T("   480254")</f>
        <v xml:space="preserve">   480254</v>
      </c>
      <c r="B9152" t="s">
        <v>205</v>
      </c>
      <c r="C9152">
        <v>1492780</v>
      </c>
      <c r="D9152">
        <v>2736</v>
      </c>
    </row>
    <row r="9153" spans="1:4" x14ac:dyDescent="0.25">
      <c r="A9153" t="str">
        <f>T("   480256")</f>
        <v xml:space="preserve">   480256</v>
      </c>
      <c r="B9153" t="s">
        <v>207</v>
      </c>
      <c r="C9153">
        <v>38671654</v>
      </c>
      <c r="D9153">
        <v>99262</v>
      </c>
    </row>
    <row r="9154" spans="1:4" x14ac:dyDescent="0.25">
      <c r="A9154" t="str">
        <f>T("   480257")</f>
        <v xml:space="preserve">   480257</v>
      </c>
      <c r="B9154" t="s">
        <v>208</v>
      </c>
      <c r="C9154">
        <v>83594764</v>
      </c>
      <c r="D9154">
        <v>179461</v>
      </c>
    </row>
    <row r="9155" spans="1:4" x14ac:dyDescent="0.25">
      <c r="A9155" t="str">
        <f>T("   480258")</f>
        <v xml:space="preserve">   480258</v>
      </c>
      <c r="B9155" t="s">
        <v>209</v>
      </c>
      <c r="C9155">
        <v>497141652</v>
      </c>
      <c r="D9155">
        <v>1399867</v>
      </c>
    </row>
    <row r="9156" spans="1:4" x14ac:dyDescent="0.25">
      <c r="A9156" t="str">
        <f>T("   480261")</f>
        <v xml:space="preserve">   480261</v>
      </c>
      <c r="B9156" t="s">
        <v>210</v>
      </c>
      <c r="C9156">
        <v>6555214</v>
      </c>
      <c r="D9156">
        <v>8541</v>
      </c>
    </row>
    <row r="9157" spans="1:4" x14ac:dyDescent="0.25">
      <c r="A9157" t="str">
        <f>T("   480269")</f>
        <v xml:space="preserve">   480269</v>
      </c>
      <c r="B9157" t="s">
        <v>208</v>
      </c>
      <c r="C9157">
        <v>39709641</v>
      </c>
      <c r="D9157">
        <v>81896</v>
      </c>
    </row>
    <row r="9158" spans="1:4" x14ac:dyDescent="0.25">
      <c r="A9158" t="str">
        <f>T("   480592")</f>
        <v xml:space="preserve">   480592</v>
      </c>
      <c r="B9158" t="str">
        <f>T("   Papiers et cartons, non couchés ni enduits, en rouleaux d'une largeur &gt; 36 cm ou en feuilles de forme carrée ou rectangulaire dont au moins un coté &gt; 36 cm et l'autre &gt; 15 cm à l'état non plié, d'un poids &gt; 150 g/m² mais &lt; 225 g/m², n.d.a.")</f>
        <v xml:space="preserve">   Papiers et cartons, non couchés ni enduits, en rouleaux d'une largeur &gt; 36 cm ou en feuilles de forme carrée ou rectangulaire dont au moins un coté &gt; 36 cm et l'autre &gt; 15 cm à l'état non plié, d'un poids &gt; 150 g/m² mais &lt; 225 g/m², n.d.a.</v>
      </c>
      <c r="C9158">
        <v>18791686</v>
      </c>
      <c r="D9158">
        <v>39952</v>
      </c>
    </row>
    <row r="9159" spans="1:4" x14ac:dyDescent="0.25">
      <c r="A9159" t="str">
        <f>T("   480593")</f>
        <v xml:space="preserve">   480593</v>
      </c>
      <c r="B9159"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9159">
        <v>5084424</v>
      </c>
      <c r="D9159">
        <v>15203</v>
      </c>
    </row>
    <row r="9160" spans="1:4" x14ac:dyDescent="0.25">
      <c r="A9160" t="str">
        <f>T("   480830")</f>
        <v xml:space="preserve">   480830</v>
      </c>
      <c r="B9160" t="s">
        <v>218</v>
      </c>
      <c r="C9160">
        <v>4938660</v>
      </c>
      <c r="D9160">
        <v>15402</v>
      </c>
    </row>
    <row r="9161" spans="1:4" x14ac:dyDescent="0.25">
      <c r="A9161" t="str">
        <f>T("   480990")</f>
        <v xml:space="preserve">   480990</v>
      </c>
      <c r="B9161" t="s">
        <v>220</v>
      </c>
      <c r="C9161">
        <v>10495339</v>
      </c>
      <c r="D9161">
        <v>19100</v>
      </c>
    </row>
    <row r="9162" spans="1:4" x14ac:dyDescent="0.25">
      <c r="A9162" t="str">
        <f>T("   481014")</f>
        <v xml:space="preserve">   481014</v>
      </c>
      <c r="B9162" t="s">
        <v>221</v>
      </c>
      <c r="C9162">
        <v>14594995</v>
      </c>
      <c r="D9162">
        <v>36823</v>
      </c>
    </row>
    <row r="9163" spans="1:4" x14ac:dyDescent="0.25">
      <c r="A9163" t="str">
        <f>T("   481019")</f>
        <v xml:space="preserve">   481019</v>
      </c>
      <c r="B9163" t="s">
        <v>221</v>
      </c>
      <c r="C9163">
        <v>24073119</v>
      </c>
      <c r="D9163">
        <v>58313</v>
      </c>
    </row>
    <row r="9164" spans="1:4" x14ac:dyDescent="0.25">
      <c r="A9164" t="str">
        <f>T("   481029")</f>
        <v xml:space="preserve">   481029</v>
      </c>
      <c r="B9164" t="s">
        <v>222</v>
      </c>
      <c r="C9164">
        <v>37980615</v>
      </c>
      <c r="D9164">
        <v>80445</v>
      </c>
    </row>
    <row r="9165" spans="1:4" x14ac:dyDescent="0.25">
      <c r="A9165" t="str">
        <f>T("   481032")</f>
        <v xml:space="preserve">   481032</v>
      </c>
      <c r="B9165" t="s">
        <v>223</v>
      </c>
      <c r="C9165">
        <v>8261932</v>
      </c>
      <c r="D9165">
        <v>19337</v>
      </c>
    </row>
    <row r="9166" spans="1:4" x14ac:dyDescent="0.25">
      <c r="A9166" t="str">
        <f>T("   481099")</f>
        <v xml:space="preserve">   481099</v>
      </c>
      <c r="B9166" t="s">
        <v>225</v>
      </c>
      <c r="C9166">
        <v>7769578</v>
      </c>
      <c r="D9166">
        <v>19397</v>
      </c>
    </row>
    <row r="9167" spans="1:4" x14ac:dyDescent="0.25">
      <c r="A9167" t="str">
        <f>T("   481710")</f>
        <v xml:space="preserve">   481710</v>
      </c>
      <c r="B9167" t="str">
        <f>T("   Enveloppes, en papier ou en carton")</f>
        <v xml:space="preserve">   Enveloppes, en papier ou en carton</v>
      </c>
      <c r="C9167">
        <v>10401404</v>
      </c>
      <c r="D9167">
        <v>22130</v>
      </c>
    </row>
    <row r="9168" spans="1:4" x14ac:dyDescent="0.25">
      <c r="A9168" t="str">
        <f>T("   481910")</f>
        <v xml:space="preserve">   481910</v>
      </c>
      <c r="B9168" t="str">
        <f>T("   Boîtes et caisses en papier ou en carton ondulé")</f>
        <v xml:space="preserve">   Boîtes et caisses en papier ou en carton ondulé</v>
      </c>
      <c r="C9168">
        <v>21646087</v>
      </c>
      <c r="D9168">
        <v>63759</v>
      </c>
    </row>
    <row r="9169" spans="1:4" x14ac:dyDescent="0.25">
      <c r="A9169" t="str">
        <f>T("   481920")</f>
        <v xml:space="preserve">   481920</v>
      </c>
      <c r="B9169" t="str">
        <f>T("   Boîtes et cartonnages, pliants, en papier ou en carton non ondulé")</f>
        <v xml:space="preserve">   Boîtes et cartonnages, pliants, en papier ou en carton non ondulé</v>
      </c>
      <c r="C9169">
        <v>4273684</v>
      </c>
      <c r="D9169">
        <v>2989</v>
      </c>
    </row>
    <row r="9170" spans="1:4" x14ac:dyDescent="0.25">
      <c r="A9170" t="str">
        <f>T("   481960")</f>
        <v xml:space="preserve">   481960</v>
      </c>
      <c r="B9170" t="str">
        <f>T("   Cartonnages de bureau, de magasin ou simil., rigides (à l'excl. des emballages)")</f>
        <v xml:space="preserve">   Cartonnages de bureau, de magasin ou simil., rigides (à l'excl. des emballages)</v>
      </c>
      <c r="C9170">
        <v>8526</v>
      </c>
      <c r="D9170">
        <v>10</v>
      </c>
    </row>
    <row r="9171" spans="1:4" x14ac:dyDescent="0.25">
      <c r="A9171" t="str">
        <f>T("   482010")</f>
        <v xml:space="preserve">   482010</v>
      </c>
      <c r="B917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171">
        <v>24745626</v>
      </c>
      <c r="D9171">
        <v>52172.65</v>
      </c>
    </row>
    <row r="9172" spans="1:4" x14ac:dyDescent="0.25">
      <c r="A9172" t="str">
        <f>T("   482020")</f>
        <v xml:space="preserve">   482020</v>
      </c>
      <c r="B9172" t="str">
        <f>T("   Cahiers pour l'écriture, en papier ou carton")</f>
        <v xml:space="preserve">   Cahiers pour l'écriture, en papier ou carton</v>
      </c>
      <c r="C9172">
        <v>622435220</v>
      </c>
      <c r="D9172">
        <v>1793839.53</v>
      </c>
    </row>
    <row r="9173" spans="1:4" x14ac:dyDescent="0.25">
      <c r="A9173" t="str">
        <f>T("   482030")</f>
        <v xml:space="preserve">   482030</v>
      </c>
      <c r="B9173" t="str">
        <f>T("   Classeurs, reliures (autres que les couvertures pour livres), chemises et couvertures à dossiers, en papier ou en carton")</f>
        <v xml:space="preserve">   Classeurs, reliures (autres que les couvertures pour livres), chemises et couvertures à dossiers, en papier ou en carton</v>
      </c>
      <c r="C9173">
        <v>87060340</v>
      </c>
      <c r="D9173">
        <v>188588.4</v>
      </c>
    </row>
    <row r="9174" spans="1:4" x14ac:dyDescent="0.25">
      <c r="A9174" t="str">
        <f>T("   482040")</f>
        <v xml:space="preserve">   482040</v>
      </c>
      <c r="B9174" t="str">
        <f>T("   Liasses et carnets manifold, même comportant des feuilles de papier carbone, en papier ou carton")</f>
        <v xml:space="preserve">   Liasses et carnets manifold, même comportant des feuilles de papier carbone, en papier ou carton</v>
      </c>
      <c r="C9174">
        <v>6598903</v>
      </c>
      <c r="D9174">
        <v>10999</v>
      </c>
    </row>
    <row r="9175" spans="1:4" x14ac:dyDescent="0.25">
      <c r="A9175" t="str">
        <f>T("   482090")</f>
        <v xml:space="preserve">   482090</v>
      </c>
      <c r="B9175" t="s">
        <v>234</v>
      </c>
      <c r="C9175">
        <v>11476638</v>
      </c>
      <c r="D9175">
        <v>19141</v>
      </c>
    </row>
    <row r="9176" spans="1:4" x14ac:dyDescent="0.25">
      <c r="A9176" t="str">
        <f>T("   482390")</f>
        <v xml:space="preserve">   482390</v>
      </c>
      <c r="B9176" t="s">
        <v>235</v>
      </c>
      <c r="C9176">
        <v>21032360</v>
      </c>
      <c r="D9176">
        <v>40674</v>
      </c>
    </row>
    <row r="9177" spans="1:4" x14ac:dyDescent="0.25">
      <c r="A9177" t="str">
        <f>T("   491000")</f>
        <v xml:space="preserve">   491000</v>
      </c>
      <c r="B9177" t="str">
        <f>T("   Calendriers de tous genres, imprimés, y.c. les blocs de calendriers à effeuiller")</f>
        <v xml:space="preserve">   Calendriers de tous genres, imprimés, y.c. les blocs de calendriers à effeuiller</v>
      </c>
      <c r="C9177">
        <v>118833</v>
      </c>
      <c r="D9177">
        <v>86</v>
      </c>
    </row>
    <row r="9178" spans="1:4" x14ac:dyDescent="0.25">
      <c r="A9178" t="str">
        <f>T("   491199")</f>
        <v xml:space="preserve">   491199</v>
      </c>
      <c r="B9178" t="str">
        <f>T("   Imprimés, n.d.a.")</f>
        <v xml:space="preserve">   Imprimés, n.d.a.</v>
      </c>
      <c r="C9178">
        <v>29874</v>
      </c>
      <c r="D9178">
        <v>23</v>
      </c>
    </row>
    <row r="9179" spans="1:4" x14ac:dyDescent="0.25">
      <c r="A9179" t="str">
        <f>T("   520951")</f>
        <v xml:space="preserve">   520951</v>
      </c>
      <c r="B9179" t="str">
        <f>T("   Tissus de coton, imprimés, à armure toile, contenant &gt;= 85% en poids de coton, d'un poids &gt; 200 g/m²")</f>
        <v xml:space="preserve">   Tissus de coton, imprimés, à armure toile, contenant &gt;= 85% en poids de coton, d'un poids &gt; 200 g/m²</v>
      </c>
      <c r="C9179">
        <v>34000000</v>
      </c>
      <c r="D9179">
        <v>34200</v>
      </c>
    </row>
    <row r="9180" spans="1:4" x14ac:dyDescent="0.25">
      <c r="A9180" t="str">
        <f>T("   610910")</f>
        <v xml:space="preserve">   610910</v>
      </c>
      <c r="B9180" t="str">
        <f>T("   T-shirts et maillots de corps, en bonneterie, de coton,")</f>
        <v xml:space="preserve">   T-shirts et maillots de corps, en bonneterie, de coton,</v>
      </c>
      <c r="C9180">
        <v>67577</v>
      </c>
      <c r="D9180">
        <v>47</v>
      </c>
    </row>
    <row r="9181" spans="1:4" x14ac:dyDescent="0.25">
      <c r="A9181" t="str">
        <f>T("   610990")</f>
        <v xml:space="preserve">   610990</v>
      </c>
      <c r="B9181" t="str">
        <f>T("   T-shirts et maillots de corps, en bonneterie, de matières textiles (sauf de coton)")</f>
        <v xml:space="preserve">   T-shirts et maillots de corps, en bonneterie, de matières textiles (sauf de coton)</v>
      </c>
      <c r="C9181">
        <v>1995166</v>
      </c>
      <c r="D9181">
        <v>462</v>
      </c>
    </row>
    <row r="9182" spans="1:4" x14ac:dyDescent="0.25">
      <c r="A9182" t="str">
        <f>T("   611720")</f>
        <v xml:space="preserve">   611720</v>
      </c>
      <c r="B9182" t="str">
        <f>T("   Cravates, noeuds papillons et foulards cravates, en bonneterie")</f>
        <v xml:space="preserve">   Cravates, noeuds papillons et foulards cravates, en bonneterie</v>
      </c>
      <c r="C9182">
        <v>80000</v>
      </c>
      <c r="D9182">
        <v>74</v>
      </c>
    </row>
    <row r="9183" spans="1:4" x14ac:dyDescent="0.25">
      <c r="A9183" t="str">
        <f>T("   621490")</f>
        <v xml:space="preserve">   621490</v>
      </c>
      <c r="B9183"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9183">
        <v>836856</v>
      </c>
      <c r="D9183">
        <v>191</v>
      </c>
    </row>
    <row r="9184" spans="1:4" x14ac:dyDescent="0.25">
      <c r="A9184" t="str">
        <f>T("   630510")</f>
        <v xml:space="preserve">   630510</v>
      </c>
      <c r="B9184" t="str">
        <f>T("   Sacs et sachets d'emballage de jute ou d'autres fibres textiles libériennes du n° 5303")</f>
        <v xml:space="preserve">   Sacs et sachets d'emballage de jute ou d'autres fibres textiles libériennes du n° 5303</v>
      </c>
      <c r="C9184">
        <v>123098135</v>
      </c>
      <c r="D9184">
        <v>270549</v>
      </c>
    </row>
    <row r="9185" spans="1:4" x14ac:dyDescent="0.25">
      <c r="A9185" t="str">
        <f>T("   630539")</f>
        <v xml:space="preserve">   630539</v>
      </c>
      <c r="B9185"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9185">
        <v>60000</v>
      </c>
      <c r="D9185">
        <v>310</v>
      </c>
    </row>
    <row r="9186" spans="1:4" x14ac:dyDescent="0.25">
      <c r="A9186" t="str">
        <f>T("   630900")</f>
        <v xml:space="preserve">   630900</v>
      </c>
      <c r="B9186" t="s">
        <v>300</v>
      </c>
      <c r="C9186">
        <v>20288500</v>
      </c>
      <c r="D9186">
        <v>36820</v>
      </c>
    </row>
    <row r="9187" spans="1:4" x14ac:dyDescent="0.25">
      <c r="A9187" t="str">
        <f>T("   640299")</f>
        <v xml:space="preserve">   640299</v>
      </c>
      <c r="B9187" t="s">
        <v>305</v>
      </c>
      <c r="C9187">
        <v>7700000</v>
      </c>
      <c r="D9187">
        <v>11000</v>
      </c>
    </row>
    <row r="9188" spans="1:4" x14ac:dyDescent="0.25">
      <c r="A9188" t="str">
        <f>T("   650590")</f>
        <v xml:space="preserve">   650590</v>
      </c>
      <c r="B9188" t="s">
        <v>312</v>
      </c>
      <c r="C9188">
        <v>318680</v>
      </c>
      <c r="D9188">
        <v>73</v>
      </c>
    </row>
    <row r="9189" spans="1:4" x14ac:dyDescent="0.25">
      <c r="A9189" t="str">
        <f>T("   680291")</f>
        <v xml:space="preserve">   680291</v>
      </c>
      <c r="B9189" t="s">
        <v>317</v>
      </c>
      <c r="C9189">
        <v>57928</v>
      </c>
      <c r="D9189">
        <v>60</v>
      </c>
    </row>
    <row r="9190" spans="1:4" x14ac:dyDescent="0.25">
      <c r="A9190" t="str">
        <f>T("   681019")</f>
        <v xml:space="preserve">   681019</v>
      </c>
      <c r="B9190"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9190">
        <v>8750506</v>
      </c>
      <c r="D9190">
        <v>105598</v>
      </c>
    </row>
    <row r="9191" spans="1:4" x14ac:dyDescent="0.25">
      <c r="A9191" t="str">
        <f>T("   681120")</f>
        <v xml:space="preserve">   681120</v>
      </c>
      <c r="B9191" t="str">
        <f>T("   Plaques, panneaux, carreaux, tuiles et articles simil., en amiante-ciment, cellulose-ciment ou simil. (sauf plaques ondulées)")</f>
        <v xml:space="preserve">   Plaques, panneaux, carreaux, tuiles et articles simil., en amiante-ciment, cellulose-ciment ou simil. (sauf plaques ondulées)</v>
      </c>
      <c r="C9191">
        <v>6125750</v>
      </c>
      <c r="D9191">
        <v>106545</v>
      </c>
    </row>
    <row r="9192" spans="1:4" x14ac:dyDescent="0.25">
      <c r="A9192" t="str">
        <f>T("   690890")</f>
        <v xml:space="preserve">   690890</v>
      </c>
      <c r="B9192" t="s">
        <v>336</v>
      </c>
      <c r="C9192">
        <v>9839400</v>
      </c>
      <c r="D9192">
        <v>59110</v>
      </c>
    </row>
    <row r="9193" spans="1:4" x14ac:dyDescent="0.25">
      <c r="A9193" t="str">
        <f>T("   720890")</f>
        <v xml:space="preserve">   720890</v>
      </c>
      <c r="B9193"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9193">
        <v>73282824</v>
      </c>
      <c r="D9193">
        <v>303466</v>
      </c>
    </row>
    <row r="9194" spans="1:4" x14ac:dyDescent="0.25">
      <c r="A9194" t="str">
        <f>T("   721049")</f>
        <v xml:space="preserve">   721049</v>
      </c>
      <c r="B9194"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194">
        <v>170805955</v>
      </c>
      <c r="D9194">
        <v>311725</v>
      </c>
    </row>
    <row r="9195" spans="1:4" x14ac:dyDescent="0.25">
      <c r="A9195" t="str">
        <f>T("   731700")</f>
        <v xml:space="preserve">   731700</v>
      </c>
      <c r="B9195"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9195">
        <v>8738395</v>
      </c>
      <c r="D9195">
        <v>55764</v>
      </c>
    </row>
    <row r="9196" spans="1:4" x14ac:dyDescent="0.25">
      <c r="A9196" t="str">
        <f>T("   731930")</f>
        <v xml:space="preserve">   731930</v>
      </c>
      <c r="B9196" t="str">
        <f>T("   Autres épingles en fer ou en acier, n.d.a.")</f>
        <v xml:space="preserve">   Autres épingles en fer ou en acier, n.d.a.</v>
      </c>
      <c r="C9196">
        <v>110823</v>
      </c>
      <c r="D9196">
        <v>190</v>
      </c>
    </row>
    <row r="9197" spans="1:4" x14ac:dyDescent="0.25">
      <c r="A9197" t="str">
        <f>T("   732111")</f>
        <v xml:space="preserve">   732111</v>
      </c>
      <c r="B9197" t="s">
        <v>382</v>
      </c>
      <c r="C9197">
        <v>4929351</v>
      </c>
      <c r="D9197">
        <v>2391</v>
      </c>
    </row>
    <row r="9198" spans="1:4" x14ac:dyDescent="0.25">
      <c r="A9198" t="str">
        <f>T("   732399")</f>
        <v xml:space="preserve">   732399</v>
      </c>
      <c r="B9198" t="s">
        <v>390</v>
      </c>
      <c r="C9198">
        <v>1570326</v>
      </c>
      <c r="D9198">
        <v>9957</v>
      </c>
    </row>
    <row r="9199" spans="1:4" x14ac:dyDescent="0.25">
      <c r="A9199" t="str">
        <f>T("   741510")</f>
        <v xml:space="preserve">   741510</v>
      </c>
      <c r="B9199"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9199">
        <v>11797441</v>
      </c>
      <c r="D9199">
        <v>46540</v>
      </c>
    </row>
    <row r="9200" spans="1:4" x14ac:dyDescent="0.25">
      <c r="A9200" t="str">
        <f>T("   821300")</f>
        <v xml:space="preserve">   821300</v>
      </c>
      <c r="B9200"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9200">
        <v>1557544</v>
      </c>
      <c r="D9200">
        <v>1600</v>
      </c>
    </row>
    <row r="9201" spans="1:4" x14ac:dyDescent="0.25">
      <c r="A9201" t="str">
        <f>T("   821410")</f>
        <v xml:space="preserve">   821410</v>
      </c>
      <c r="B9201"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9201">
        <v>1932237</v>
      </c>
      <c r="D9201">
        <v>1532</v>
      </c>
    </row>
    <row r="9202" spans="1:4" x14ac:dyDescent="0.25">
      <c r="A9202" t="str">
        <f>T("   830300")</f>
        <v xml:space="preserve">   830300</v>
      </c>
      <c r="B9202"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9202">
        <v>260375</v>
      </c>
      <c r="D9202">
        <v>1500</v>
      </c>
    </row>
    <row r="9203" spans="1:4" x14ac:dyDescent="0.25">
      <c r="A9203" t="str">
        <f>T("   830590")</f>
        <v xml:space="preserve">   830590</v>
      </c>
      <c r="B9203" t="s">
        <v>406</v>
      </c>
      <c r="C9203">
        <v>5749740</v>
      </c>
      <c r="D9203">
        <v>10819</v>
      </c>
    </row>
    <row r="9204" spans="1:4" x14ac:dyDescent="0.25">
      <c r="A9204" t="str">
        <f>T("   841420")</f>
        <v xml:space="preserve">   841420</v>
      </c>
      <c r="B9204" t="str">
        <f>T("   Pompes à air, à main ou à pied")</f>
        <v xml:space="preserve">   Pompes à air, à main ou à pied</v>
      </c>
      <c r="C9204">
        <v>4349291</v>
      </c>
      <c r="D9204">
        <v>79</v>
      </c>
    </row>
    <row r="9205" spans="1:4" x14ac:dyDescent="0.25">
      <c r="A9205" t="str">
        <f>T("   841451")</f>
        <v xml:space="preserve">   841451</v>
      </c>
      <c r="B9205"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205">
        <v>1364469</v>
      </c>
      <c r="D9205">
        <v>1311</v>
      </c>
    </row>
    <row r="9206" spans="1:4" x14ac:dyDescent="0.25">
      <c r="A9206" t="str">
        <f>T("   841459")</f>
        <v xml:space="preserve">   841459</v>
      </c>
      <c r="B9206"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206">
        <v>9125355</v>
      </c>
      <c r="D9206">
        <v>13353</v>
      </c>
    </row>
    <row r="9207" spans="1:4" x14ac:dyDescent="0.25">
      <c r="A9207" t="str">
        <f>T("   841510")</f>
        <v xml:space="preserve">   841510</v>
      </c>
      <c r="B9207" t="s">
        <v>422</v>
      </c>
      <c r="C9207">
        <v>285743863</v>
      </c>
      <c r="D9207">
        <v>441155</v>
      </c>
    </row>
    <row r="9208" spans="1:4" x14ac:dyDescent="0.25">
      <c r="A9208" t="str">
        <f>T("   841582")</f>
        <v xml:space="preserve">   841582</v>
      </c>
      <c r="B9208" t="s">
        <v>424</v>
      </c>
      <c r="C9208">
        <v>4935190</v>
      </c>
      <c r="D9208">
        <v>10066</v>
      </c>
    </row>
    <row r="9209" spans="1:4" x14ac:dyDescent="0.25">
      <c r="A9209" t="str">
        <f>T("   841810")</f>
        <v xml:space="preserve">   841810</v>
      </c>
      <c r="B9209" t="str">
        <f>T("   Réfrigérateurs et congélateurs-conservateurs combinés, avec portes extérieures séparées")</f>
        <v xml:space="preserve">   Réfrigérateurs et congélateurs-conservateurs combinés, avec portes extérieures séparées</v>
      </c>
      <c r="C9209">
        <v>3962924</v>
      </c>
      <c r="D9209">
        <v>2286</v>
      </c>
    </row>
    <row r="9210" spans="1:4" x14ac:dyDescent="0.25">
      <c r="A9210" t="str">
        <f>T("   841829")</f>
        <v xml:space="preserve">   841829</v>
      </c>
      <c r="B9210" t="str">
        <f>T("   Réfrigérateurs ménagers à absorption, non-électriques")</f>
        <v xml:space="preserve">   Réfrigérateurs ménagers à absorption, non-électriques</v>
      </c>
      <c r="C9210">
        <v>84900221</v>
      </c>
      <c r="D9210">
        <v>108452</v>
      </c>
    </row>
    <row r="9211" spans="1:4" x14ac:dyDescent="0.25">
      <c r="A9211" t="str">
        <f>T("   841830")</f>
        <v xml:space="preserve">   841830</v>
      </c>
      <c r="B9211" t="str">
        <f>T("   Meubles congélateurs-conservateurs du type coffre, capacité &lt;= 800 l")</f>
        <v xml:space="preserve">   Meubles congélateurs-conservateurs du type coffre, capacité &lt;= 800 l</v>
      </c>
      <c r="C9211">
        <v>13582200</v>
      </c>
      <c r="D9211">
        <v>8415</v>
      </c>
    </row>
    <row r="9212" spans="1:4" x14ac:dyDescent="0.25">
      <c r="A9212" t="str">
        <f>T("   841840")</f>
        <v xml:space="preserve">   841840</v>
      </c>
      <c r="B9212" t="str">
        <f>T("   Meubles congélateurs-conservateurs du type armoire, capacité &lt;= 900 l")</f>
        <v xml:space="preserve">   Meubles congélateurs-conservateurs du type armoire, capacité &lt;= 900 l</v>
      </c>
      <c r="C9212">
        <v>12840433</v>
      </c>
      <c r="D9212">
        <v>8527</v>
      </c>
    </row>
    <row r="9213" spans="1:4" x14ac:dyDescent="0.25">
      <c r="A9213" t="str">
        <f>T("   841850")</f>
        <v xml:space="preserve">   841850</v>
      </c>
      <c r="B9213" t="s">
        <v>427</v>
      </c>
      <c r="C9213">
        <v>662262</v>
      </c>
      <c r="D9213">
        <v>336</v>
      </c>
    </row>
    <row r="9214" spans="1:4" x14ac:dyDescent="0.25">
      <c r="A9214" t="str">
        <f>T("   841869")</f>
        <v xml:space="preserve">   841869</v>
      </c>
      <c r="B9214"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9214">
        <v>120153</v>
      </c>
      <c r="D9214">
        <v>69</v>
      </c>
    </row>
    <row r="9215" spans="1:4" x14ac:dyDescent="0.25">
      <c r="A9215" t="str">
        <f>T("   841899")</f>
        <v xml:space="preserve">   841899</v>
      </c>
      <c r="B9215"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9215">
        <v>347909</v>
      </c>
      <c r="D9215">
        <v>162</v>
      </c>
    </row>
    <row r="9216" spans="1:4" x14ac:dyDescent="0.25">
      <c r="A9216" t="str">
        <f>T("   842129")</f>
        <v xml:space="preserve">   842129</v>
      </c>
      <c r="B921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9216">
        <v>2158927</v>
      </c>
      <c r="D9216">
        <v>10</v>
      </c>
    </row>
    <row r="9217" spans="1:4" x14ac:dyDescent="0.25">
      <c r="A9217" t="str">
        <f>T("   842549")</f>
        <v xml:space="preserve">   842549</v>
      </c>
      <c r="B9217" t="str">
        <f>T("   Crics et vérins, non hydrauliques")</f>
        <v xml:space="preserve">   Crics et vérins, non hydrauliques</v>
      </c>
      <c r="C9217">
        <v>125999</v>
      </c>
      <c r="D9217">
        <v>500</v>
      </c>
    </row>
    <row r="9218" spans="1:4" x14ac:dyDescent="0.25">
      <c r="A9218" t="str">
        <f>T("   843149")</f>
        <v xml:space="preserve">   843149</v>
      </c>
      <c r="B9218" t="str">
        <f>T("   Parties de machines et appareils du n° 8426, 8429 ou 8430, n.d.a.")</f>
        <v xml:space="preserve">   Parties de machines et appareils du n° 8426, 8429 ou 8430, n.d.a.</v>
      </c>
      <c r="C9218">
        <v>671399</v>
      </c>
      <c r="D9218">
        <v>63</v>
      </c>
    </row>
    <row r="9219" spans="1:4" x14ac:dyDescent="0.25">
      <c r="A9219" t="str">
        <f>T("   844391")</f>
        <v xml:space="preserve">   844391</v>
      </c>
      <c r="B9219"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9219">
        <v>471897</v>
      </c>
      <c r="D9219">
        <v>5209</v>
      </c>
    </row>
    <row r="9220" spans="1:4" x14ac:dyDescent="0.25">
      <c r="A9220" t="str">
        <f>T("   845011")</f>
        <v xml:space="preserve">   845011</v>
      </c>
      <c r="B9220" t="str">
        <f>T("   Machines à laver le linge entièrement automatiques, d'une capacité unitaire exprimée en poids de linge sec &lt;= 6 kg")</f>
        <v xml:space="preserve">   Machines à laver le linge entièrement automatiques, d'une capacité unitaire exprimée en poids de linge sec &lt;= 6 kg</v>
      </c>
      <c r="C9220">
        <v>865640</v>
      </c>
      <c r="D9220">
        <v>500</v>
      </c>
    </row>
    <row r="9221" spans="1:4" x14ac:dyDescent="0.25">
      <c r="A9221" t="str">
        <f>T("   845019")</f>
        <v xml:space="preserve">   845019</v>
      </c>
      <c r="B9221"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221">
        <v>1693222</v>
      </c>
      <c r="D9221">
        <v>1065</v>
      </c>
    </row>
    <row r="9222" spans="1:4" x14ac:dyDescent="0.25">
      <c r="A9222" t="str">
        <f>T("   847190")</f>
        <v xml:space="preserve">   847190</v>
      </c>
      <c r="B922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222">
        <v>4800529</v>
      </c>
      <c r="D9222">
        <v>14001</v>
      </c>
    </row>
    <row r="9223" spans="1:4" x14ac:dyDescent="0.25">
      <c r="A9223" t="str">
        <f>T("   847290")</f>
        <v xml:space="preserve">   847290</v>
      </c>
      <c r="B9223" t="str">
        <f>T("   Machines et appareils de bureau, n.d.a.")</f>
        <v xml:space="preserve">   Machines et appareils de bureau, n.d.a.</v>
      </c>
      <c r="C9223">
        <v>1411685</v>
      </c>
      <c r="D9223">
        <v>1068</v>
      </c>
    </row>
    <row r="9224" spans="1:4" x14ac:dyDescent="0.25">
      <c r="A9224" t="str">
        <f>T("   850490")</f>
        <v xml:space="preserve">   850490</v>
      </c>
      <c r="B9224" t="str">
        <f>T("   Parties de transformateurs, de bobines de réactance et selfs n.d.a.")</f>
        <v xml:space="preserve">   Parties de transformateurs, de bobines de réactance et selfs n.d.a.</v>
      </c>
      <c r="C9224">
        <v>4398762</v>
      </c>
      <c r="D9224">
        <v>49</v>
      </c>
    </row>
    <row r="9225" spans="1:4" x14ac:dyDescent="0.25">
      <c r="A9225" t="str">
        <f>T("   850680")</f>
        <v xml:space="preserve">   850680</v>
      </c>
      <c r="B9225"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225">
        <v>6300000</v>
      </c>
      <c r="D9225">
        <v>10800</v>
      </c>
    </row>
    <row r="9226" spans="1:4" x14ac:dyDescent="0.25">
      <c r="A9226" t="str">
        <f>T("   850940")</f>
        <v xml:space="preserve">   850940</v>
      </c>
      <c r="B9226"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9226">
        <v>2727045</v>
      </c>
      <c r="D9226">
        <v>1663</v>
      </c>
    </row>
    <row r="9227" spans="1:4" x14ac:dyDescent="0.25">
      <c r="A9227" t="str">
        <f>T("   851640")</f>
        <v xml:space="preserve">   851640</v>
      </c>
      <c r="B9227" t="str">
        <f>T("   Fers à repasser électriques")</f>
        <v xml:space="preserve">   Fers à repasser électriques</v>
      </c>
      <c r="C9227">
        <v>1060028</v>
      </c>
      <c r="D9227">
        <v>699</v>
      </c>
    </row>
    <row r="9228" spans="1:4" x14ac:dyDescent="0.25">
      <c r="A9228" t="str">
        <f>T("   851650")</f>
        <v xml:space="preserve">   851650</v>
      </c>
      <c r="B9228" t="str">
        <f>T("   Fours à micro-ondes")</f>
        <v xml:space="preserve">   Fours à micro-ondes</v>
      </c>
      <c r="C9228">
        <v>3643077</v>
      </c>
      <c r="D9228">
        <v>2080</v>
      </c>
    </row>
    <row r="9229" spans="1:4" x14ac:dyDescent="0.25">
      <c r="A9229" t="str">
        <f>T("   851660")</f>
        <v xml:space="preserve">   851660</v>
      </c>
      <c r="B9229"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229">
        <v>2271978</v>
      </c>
      <c r="D9229">
        <v>4091</v>
      </c>
    </row>
    <row r="9230" spans="1:4" x14ac:dyDescent="0.25">
      <c r="A9230" t="str">
        <f>T("   851671")</f>
        <v xml:space="preserve">   851671</v>
      </c>
      <c r="B9230" t="str">
        <f>T("   Appareils électriques pour la préparation du café ou du thé, pour usages domestiques")</f>
        <v xml:space="preserve">   Appareils électriques pour la préparation du café ou du thé, pour usages domestiques</v>
      </c>
      <c r="C9230">
        <v>1509868</v>
      </c>
      <c r="D9230">
        <v>846</v>
      </c>
    </row>
    <row r="9231" spans="1:4" x14ac:dyDescent="0.25">
      <c r="A9231" t="str">
        <f>T("   851679")</f>
        <v xml:space="preserve">   851679</v>
      </c>
      <c r="B9231" t="s">
        <v>478</v>
      </c>
      <c r="C9231">
        <v>469206</v>
      </c>
      <c r="D9231">
        <v>293</v>
      </c>
    </row>
    <row r="9232" spans="1:4" x14ac:dyDescent="0.25">
      <c r="A9232" t="str">
        <f>T("   851769")</f>
        <v xml:space="preserve">   851769</v>
      </c>
      <c r="B9232" t="s">
        <v>481</v>
      </c>
      <c r="C9232">
        <v>905847</v>
      </c>
      <c r="D9232">
        <v>9</v>
      </c>
    </row>
    <row r="9233" spans="1:4" x14ac:dyDescent="0.25">
      <c r="A9233" t="str">
        <f>T("   851770")</f>
        <v xml:space="preserve">   851770</v>
      </c>
      <c r="B9233"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233">
        <v>163923024</v>
      </c>
      <c r="D9233">
        <v>3720</v>
      </c>
    </row>
    <row r="9234" spans="1:4" x14ac:dyDescent="0.25">
      <c r="A9234" t="str">
        <f>T("   852010")</f>
        <v xml:space="preserve">   852010</v>
      </c>
      <c r="B9234" t="str">
        <f>T("   Machines à dicter, ne pouvant fonctionner sans source d'énergie extérieure (à l'excl. des machines à dicter uniquement pour la reproduction du son du n° 8519.40)")</f>
        <v xml:space="preserve">   Machines à dicter, ne pouvant fonctionner sans source d'énergie extérieure (à l'excl. des machines à dicter uniquement pour la reproduction du son du n° 8519.40)</v>
      </c>
      <c r="C9234">
        <v>581564</v>
      </c>
      <c r="D9234">
        <v>339</v>
      </c>
    </row>
    <row r="9235" spans="1:4" x14ac:dyDescent="0.25">
      <c r="A9235" t="str">
        <f>T("   852190")</f>
        <v xml:space="preserve">   852190</v>
      </c>
      <c r="B9235" t="s">
        <v>487</v>
      </c>
      <c r="C9235">
        <v>3568985</v>
      </c>
      <c r="D9235">
        <v>1606</v>
      </c>
    </row>
    <row r="9236" spans="1:4" x14ac:dyDescent="0.25">
      <c r="A9236" t="str">
        <f>T("   852550")</f>
        <v xml:space="preserve">   852550</v>
      </c>
      <c r="B9236" t="str">
        <f>T("   APPAREILS D'ÉMISSION POUR LA RADIODIFFUSION OU LA TÉLÉVISION, SANS APPAREIL DE RÉCEPTION")</f>
        <v xml:space="preserve">   APPAREILS D'ÉMISSION POUR LA RADIODIFFUSION OU LA TÉLÉVISION, SANS APPAREIL DE RÉCEPTION</v>
      </c>
      <c r="C9236">
        <v>3965237</v>
      </c>
      <c r="D9236">
        <v>88</v>
      </c>
    </row>
    <row r="9237" spans="1:4" x14ac:dyDescent="0.25">
      <c r="A9237" t="str">
        <f>T("   852712")</f>
        <v xml:space="preserve">   852712</v>
      </c>
      <c r="B9237"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9237">
        <v>761333</v>
      </c>
      <c r="D9237">
        <v>1030</v>
      </c>
    </row>
    <row r="9238" spans="1:4" x14ac:dyDescent="0.25">
      <c r="A9238" t="str">
        <f>T("   852713")</f>
        <v xml:space="preserve">   852713</v>
      </c>
      <c r="B923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9238">
        <v>1777677</v>
      </c>
      <c r="D9238">
        <v>981</v>
      </c>
    </row>
    <row r="9239" spans="1:4" x14ac:dyDescent="0.25">
      <c r="A9239" t="str">
        <f>T("   852719")</f>
        <v xml:space="preserve">   852719</v>
      </c>
      <c r="B923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239">
        <v>495250</v>
      </c>
      <c r="D9239">
        <v>1405</v>
      </c>
    </row>
    <row r="9240" spans="1:4" x14ac:dyDescent="0.25">
      <c r="A9240" t="str">
        <f>T("   852812")</f>
        <v xml:space="preserve">   852812</v>
      </c>
      <c r="B924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240">
        <v>3404473</v>
      </c>
      <c r="D9240">
        <v>10832</v>
      </c>
    </row>
    <row r="9241" spans="1:4" x14ac:dyDescent="0.25">
      <c r="A9241" t="str">
        <f>T("   852849")</f>
        <v xml:space="preserve">   852849</v>
      </c>
      <c r="B9241"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9241">
        <v>6037822</v>
      </c>
      <c r="D9241">
        <v>3801</v>
      </c>
    </row>
    <row r="9242" spans="1:4" x14ac:dyDescent="0.25">
      <c r="A9242" t="str">
        <f>T("   852859")</f>
        <v xml:space="preserve">   852859</v>
      </c>
      <c r="B9242"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9242">
        <v>1180300</v>
      </c>
      <c r="D9242">
        <v>2500</v>
      </c>
    </row>
    <row r="9243" spans="1:4" x14ac:dyDescent="0.25">
      <c r="A9243" t="str">
        <f>T("   852873")</f>
        <v xml:space="preserve">   852873</v>
      </c>
      <c r="B9243" t="s">
        <v>495</v>
      </c>
      <c r="C9243">
        <v>16070121</v>
      </c>
      <c r="D9243">
        <v>19225</v>
      </c>
    </row>
    <row r="9244" spans="1:4" x14ac:dyDescent="0.25">
      <c r="A9244" t="str">
        <f>T("   852910")</f>
        <v xml:space="preserve">   852910</v>
      </c>
      <c r="B924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244">
        <v>137410582</v>
      </c>
      <c r="D9244">
        <v>1180</v>
      </c>
    </row>
    <row r="9245" spans="1:4" x14ac:dyDescent="0.25">
      <c r="A9245" t="str">
        <f>T("   853690")</f>
        <v xml:space="preserve">   853690</v>
      </c>
      <c r="B9245" t="s">
        <v>499</v>
      </c>
      <c r="C9245">
        <v>25762796</v>
      </c>
      <c r="D9245">
        <v>43539</v>
      </c>
    </row>
    <row r="9246" spans="1:4" x14ac:dyDescent="0.25">
      <c r="A9246" t="str">
        <f>T("   854232")</f>
        <v xml:space="preserve">   854232</v>
      </c>
      <c r="B9246" t="str">
        <f>T("   CIRCUITS INTÉGRÉS ÉLECTRONIQUES UTILISÉS COMME MÉMOIRES")</f>
        <v xml:space="preserve">   CIRCUITS INTÉGRÉS ÉLECTRONIQUES UTILISÉS COMME MÉMOIRES</v>
      </c>
      <c r="C9246">
        <v>9063161</v>
      </c>
      <c r="D9246">
        <v>122</v>
      </c>
    </row>
    <row r="9247" spans="1:4" x14ac:dyDescent="0.25">
      <c r="A9247" t="str">
        <f>T("   854239")</f>
        <v xml:space="preserve">   854239</v>
      </c>
      <c r="B9247" t="str">
        <f>T("   CIRCUITS INTÉGRÉS ÉLECTRONIQUES (À L'EXCL. DE CEUX UTILISÉS COMME PROCESSEURS, CONTRÔLEURS, MÉMOIRES ET AMPLIFICATEURS)")</f>
        <v xml:space="preserve">   CIRCUITS INTÉGRÉS ÉLECTRONIQUES (À L'EXCL. DE CEUX UTILISÉS COMME PROCESSEURS, CONTRÔLEURS, MÉMOIRES ET AMPLIFICATEURS)</v>
      </c>
      <c r="C9247">
        <v>181623056</v>
      </c>
      <c r="D9247">
        <v>1400</v>
      </c>
    </row>
    <row r="9248" spans="1:4" x14ac:dyDescent="0.25">
      <c r="A9248" t="str">
        <f>T("   854420")</f>
        <v xml:space="preserve">   854420</v>
      </c>
      <c r="B9248" t="str">
        <f>T("   Câbles coaxiaux et autres conducteurs électriques coaxiaux, isolés")</f>
        <v xml:space="preserve">   Câbles coaxiaux et autres conducteurs électriques coaxiaux, isolés</v>
      </c>
      <c r="C9248">
        <v>14565360</v>
      </c>
      <c r="D9248">
        <v>758</v>
      </c>
    </row>
    <row r="9249" spans="1:4" x14ac:dyDescent="0.25">
      <c r="A9249" t="str">
        <f>T("   854449")</f>
        <v xml:space="preserve">   854449</v>
      </c>
      <c r="B9249" t="str">
        <f>T("   CONDUCTEURS ÉLECTRIQUES, POUR TENSION &lt;= 1.000 V, ISOLÉS, SANS PIÈCES DE CONNEXION, N.D.A.")</f>
        <v xml:space="preserve">   CONDUCTEURS ÉLECTRIQUES, POUR TENSION &lt;= 1.000 V, ISOLÉS, SANS PIÈCES DE CONNEXION, N.D.A.</v>
      </c>
      <c r="C9249">
        <v>2044276</v>
      </c>
      <c r="D9249">
        <v>3</v>
      </c>
    </row>
    <row r="9250" spans="1:4" x14ac:dyDescent="0.25">
      <c r="A9250" t="str">
        <f>T("   871200")</f>
        <v xml:space="preserve">   871200</v>
      </c>
      <c r="B9250" t="str">
        <f>T("   BICYCLETTES ET AUTRES CYCLES, -Y.C. LES TRIPORTEURS-, SANS MOTEUR")</f>
        <v xml:space="preserve">   BICYCLETTES ET AUTRES CYCLES, -Y.C. LES TRIPORTEURS-, SANS MOTEUR</v>
      </c>
      <c r="C9250">
        <v>1992153</v>
      </c>
      <c r="D9250">
        <v>13540</v>
      </c>
    </row>
    <row r="9251" spans="1:4" x14ac:dyDescent="0.25">
      <c r="A9251" t="str">
        <f>T("   890590")</f>
        <v xml:space="preserve">   890590</v>
      </c>
      <c r="B9251" t="s">
        <v>522</v>
      </c>
      <c r="C9251">
        <v>24894800000</v>
      </c>
      <c r="D9251">
        <v>18000</v>
      </c>
    </row>
    <row r="9252" spans="1:4" x14ac:dyDescent="0.25">
      <c r="A9252" t="str">
        <f>T("   900719")</f>
        <v xml:space="preserve">   900719</v>
      </c>
      <c r="B9252" t="str">
        <f>T("   Caméras cinématographiques, pour films d'une largeur &gt;= 16 mm (à l'excl. des films double-8 mm)")</f>
        <v xml:space="preserve">   Caméras cinématographiques, pour films d'une largeur &gt;= 16 mm (à l'excl. des films double-8 mm)</v>
      </c>
      <c r="C9252">
        <v>170000</v>
      </c>
      <c r="D9252">
        <v>49</v>
      </c>
    </row>
    <row r="9253" spans="1:4" x14ac:dyDescent="0.25">
      <c r="A9253" t="str">
        <f>T("   901720")</f>
        <v xml:space="preserve">   901720</v>
      </c>
      <c r="B9253" t="str">
        <f>T("   Instruments de dessin, de traçage et de calcul (sauf tables et machines à dessiner ainsi que calculatrices)")</f>
        <v xml:space="preserve">   Instruments de dessin, de traçage et de calcul (sauf tables et machines à dessiner ainsi que calculatrices)</v>
      </c>
      <c r="C9253">
        <v>113542295</v>
      </c>
      <c r="D9253">
        <v>170470</v>
      </c>
    </row>
    <row r="9254" spans="1:4" x14ac:dyDescent="0.25">
      <c r="A9254" t="str">
        <f>T("   901780")</f>
        <v xml:space="preserve">   901780</v>
      </c>
      <c r="B9254" t="str">
        <f>T("   Instruments de mesure de longueurs, pour emploi à la main, n.d.a.")</f>
        <v xml:space="preserve">   Instruments de mesure de longueurs, pour emploi à la main, n.d.a.</v>
      </c>
      <c r="C9254">
        <v>2275008</v>
      </c>
      <c r="D9254">
        <v>7095</v>
      </c>
    </row>
    <row r="9255" spans="1:4" x14ac:dyDescent="0.25">
      <c r="A9255" t="str">
        <f>T("   903289")</f>
        <v xml:space="preserve">   903289</v>
      </c>
      <c r="B9255" t="s">
        <v>534</v>
      </c>
      <c r="C9255">
        <v>821464</v>
      </c>
      <c r="D9255">
        <v>480</v>
      </c>
    </row>
    <row r="9256" spans="1:4" x14ac:dyDescent="0.25">
      <c r="A9256" t="str">
        <f>T("   940330")</f>
        <v xml:space="preserve">   940330</v>
      </c>
      <c r="B9256" t="str">
        <f>T("   Meubles de bureau en bois (sauf sièges)")</f>
        <v xml:space="preserve">   Meubles de bureau en bois (sauf sièges)</v>
      </c>
      <c r="C9256">
        <v>8692965</v>
      </c>
      <c r="D9256">
        <v>1390</v>
      </c>
    </row>
    <row r="9257" spans="1:4" x14ac:dyDescent="0.25">
      <c r="A9257" t="str">
        <f>T("   960810")</f>
        <v xml:space="preserve">   960810</v>
      </c>
      <c r="B9257" t="str">
        <f>T("   Stylos et crayons à bille")</f>
        <v xml:space="preserve">   Stylos et crayons à bille</v>
      </c>
      <c r="C9257">
        <v>11770216</v>
      </c>
      <c r="D9257">
        <v>19146.8</v>
      </c>
    </row>
    <row r="9258" spans="1:4" x14ac:dyDescent="0.25">
      <c r="A9258" t="str">
        <f>T("   960820")</f>
        <v xml:space="preserve">   960820</v>
      </c>
      <c r="B9258" t="str">
        <f>T("   Stylos et marqueurs à mèche feutre ou à autres pointes poreuses")</f>
        <v xml:space="preserve">   Stylos et marqueurs à mèche feutre ou à autres pointes poreuses</v>
      </c>
      <c r="C9258">
        <v>7701757</v>
      </c>
      <c r="D9258">
        <v>10632</v>
      </c>
    </row>
    <row r="9259" spans="1:4" x14ac:dyDescent="0.25">
      <c r="A9259" t="str">
        <f>T("   960839")</f>
        <v xml:space="preserve">   960839</v>
      </c>
      <c r="B9259" t="str">
        <f>T("   Stylos à plume et autres stylos (autres qu'à dessiner à l'encre de Chine)")</f>
        <v xml:space="preserve">   Stylos à plume et autres stylos (autres qu'à dessiner à l'encre de Chine)</v>
      </c>
      <c r="C9259">
        <v>799348</v>
      </c>
      <c r="D9259">
        <v>2580</v>
      </c>
    </row>
    <row r="9260" spans="1:4" x14ac:dyDescent="0.25">
      <c r="A9260" t="str">
        <f>T("   960990")</f>
        <v xml:space="preserve">   960990</v>
      </c>
      <c r="B9260" t="str">
        <f>T("   Crayons (sauf crayons à gaine), pastels, fusains, craies à écrire ou à dessiner et craies de tailleurs")</f>
        <v xml:space="preserve">   Crayons (sauf crayons à gaine), pastels, fusains, craies à écrire ou à dessiner et craies de tailleurs</v>
      </c>
      <c r="C9260">
        <v>74791569</v>
      </c>
      <c r="D9260">
        <v>367266</v>
      </c>
    </row>
    <row r="9261" spans="1:4" x14ac:dyDescent="0.25">
      <c r="A9261" t="str">
        <f>T("   961000")</f>
        <v xml:space="preserve">   961000</v>
      </c>
      <c r="B9261" t="str">
        <f>T("   Ardoises et tableaux pour l'écriture ou le dessin, même encadrés")</f>
        <v xml:space="preserve">   Ardoises et tableaux pour l'écriture ou le dessin, même encadrés</v>
      </c>
      <c r="C9261">
        <v>4380604</v>
      </c>
      <c r="D9261">
        <v>18368</v>
      </c>
    </row>
    <row r="9262" spans="1:4" x14ac:dyDescent="0.25">
      <c r="A9262" t="str">
        <f>T("   961700")</f>
        <v xml:space="preserve">   961700</v>
      </c>
      <c r="B9262"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9262">
        <v>67577</v>
      </c>
      <c r="D9262">
        <v>47</v>
      </c>
    </row>
    <row r="9263" spans="1:4" x14ac:dyDescent="0.25">
      <c r="A9263" t="str">
        <f>T("SI")</f>
        <v>SI</v>
      </c>
      <c r="B9263" t="str">
        <f>T("Slovénie")</f>
        <v>Slovénie</v>
      </c>
    </row>
    <row r="9264" spans="1:4" x14ac:dyDescent="0.25">
      <c r="A9264" t="str">
        <f>T("   ZZ_Total_Produit_SH6")</f>
        <v xml:space="preserve">   ZZ_Total_Produit_SH6</v>
      </c>
      <c r="B9264" t="str">
        <f>T("   ZZ_Total_Produit_SH6")</f>
        <v xml:space="preserve">   ZZ_Total_Produit_SH6</v>
      </c>
      <c r="C9264">
        <v>50259867</v>
      </c>
      <c r="D9264">
        <v>34364</v>
      </c>
    </row>
    <row r="9265" spans="1:4" x14ac:dyDescent="0.25">
      <c r="A9265" t="str">
        <f>T("   121020")</f>
        <v xml:space="preserve">   121020</v>
      </c>
      <c r="B9265" t="str">
        <f>T("   Cônes de houblon, broyés, moulus ou sous forme de pellets; lupuline")</f>
        <v xml:space="preserve">   Cônes de houblon, broyés, moulus ou sous forme de pellets; lupuline</v>
      </c>
      <c r="C9265">
        <v>4894774</v>
      </c>
      <c r="D9265">
        <v>1500</v>
      </c>
    </row>
    <row r="9266" spans="1:4" x14ac:dyDescent="0.25">
      <c r="A9266" t="str">
        <f>T("   630900")</f>
        <v xml:space="preserve">   630900</v>
      </c>
      <c r="B9266" t="s">
        <v>300</v>
      </c>
      <c r="C9266">
        <v>12100000</v>
      </c>
      <c r="D9266">
        <v>22000</v>
      </c>
    </row>
    <row r="9267" spans="1:4" x14ac:dyDescent="0.25">
      <c r="A9267" t="str">
        <f>T("   842389")</f>
        <v xml:space="preserve">   842389</v>
      </c>
      <c r="B9267" t="str">
        <f>T("   Appareils et instruments de pesage, portée &gt; 5000 kg")</f>
        <v xml:space="preserve">   Appareils et instruments de pesage, portée &gt; 5000 kg</v>
      </c>
      <c r="C9267">
        <v>21165297</v>
      </c>
      <c r="D9267">
        <v>7128</v>
      </c>
    </row>
    <row r="9268" spans="1:4" x14ac:dyDescent="0.25">
      <c r="A9268" t="str">
        <f>T("   851770")</f>
        <v xml:space="preserve">   851770</v>
      </c>
      <c r="B9268"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268">
        <v>376907</v>
      </c>
      <c r="D9268">
        <v>5</v>
      </c>
    </row>
    <row r="9269" spans="1:4" x14ac:dyDescent="0.25">
      <c r="A9269" t="str">
        <f>T("   870422")</f>
        <v xml:space="preserve">   870422</v>
      </c>
      <c r="B9269" t="s">
        <v>513</v>
      </c>
      <c r="C9269">
        <v>10522889</v>
      </c>
      <c r="D9269">
        <v>2000</v>
      </c>
    </row>
    <row r="9270" spans="1:4" x14ac:dyDescent="0.25">
      <c r="A9270" t="str">
        <f>T("   870431")</f>
        <v xml:space="preserve">   870431</v>
      </c>
      <c r="B9270" t="s">
        <v>515</v>
      </c>
      <c r="C9270">
        <v>1200000</v>
      </c>
      <c r="D9270">
        <v>1731</v>
      </c>
    </row>
    <row r="9271" spans="1:4" x14ac:dyDescent="0.25">
      <c r="A9271" t="str">
        <f>T("SJ")</f>
        <v>SJ</v>
      </c>
      <c r="B9271" t="str">
        <f>T("Svalbard et île Jan Mayen")</f>
        <v>Svalbard et île Jan Mayen</v>
      </c>
    </row>
    <row r="9272" spans="1:4" x14ac:dyDescent="0.25">
      <c r="A9272" t="str">
        <f>T("   ZZ_Total_Produit_SH6")</f>
        <v xml:space="preserve">   ZZ_Total_Produit_SH6</v>
      </c>
      <c r="B9272" t="str">
        <f>T("   ZZ_Total_Produit_SH6")</f>
        <v xml:space="preserve">   ZZ_Total_Produit_SH6</v>
      </c>
      <c r="C9272">
        <v>1589080</v>
      </c>
      <c r="D9272">
        <v>827</v>
      </c>
    </row>
    <row r="9273" spans="1:4" x14ac:dyDescent="0.25">
      <c r="A9273" t="str">
        <f>T("   520852")</f>
        <v xml:space="preserve">   520852</v>
      </c>
      <c r="B9273" t="str">
        <f>T("   Tissus de coton, imprimés, à armure toile, contenant &gt;= 85% en poids de coton, d'un poids &gt; 100 g/m² mais &lt;= 200 g/m²")</f>
        <v xml:space="preserve">   Tissus de coton, imprimés, à armure toile, contenant &gt;= 85% en poids de coton, d'un poids &gt; 100 g/m² mais &lt;= 200 g/m²</v>
      </c>
      <c r="C9273">
        <v>1589080</v>
      </c>
      <c r="D9273">
        <v>827</v>
      </c>
    </row>
    <row r="9274" spans="1:4" x14ac:dyDescent="0.25">
      <c r="A9274" t="str">
        <f>T("SK")</f>
        <v>SK</v>
      </c>
      <c r="B9274" t="str">
        <f>T("Slovaquie")</f>
        <v>Slovaquie</v>
      </c>
    </row>
    <row r="9275" spans="1:4" x14ac:dyDescent="0.25">
      <c r="A9275" t="str">
        <f>T("   ZZ_Total_Produit_SH6")</f>
        <v xml:space="preserve">   ZZ_Total_Produit_SH6</v>
      </c>
      <c r="B9275" t="str">
        <f>T("   ZZ_Total_Produit_SH6")</f>
        <v xml:space="preserve">   ZZ_Total_Produit_SH6</v>
      </c>
      <c r="C9275">
        <v>74142529</v>
      </c>
      <c r="D9275">
        <v>23905</v>
      </c>
    </row>
    <row r="9276" spans="1:4" x14ac:dyDescent="0.25">
      <c r="A9276" t="str">
        <f>T("   630900")</f>
        <v xml:space="preserve">   630900</v>
      </c>
      <c r="B9276" t="s">
        <v>300</v>
      </c>
      <c r="C9276">
        <v>8738400</v>
      </c>
      <c r="D9276">
        <v>15888</v>
      </c>
    </row>
    <row r="9277" spans="1:4" x14ac:dyDescent="0.25">
      <c r="A9277" t="str">
        <f>T("   845590")</f>
        <v xml:space="preserve">   845590</v>
      </c>
      <c r="B9277" t="str">
        <f>T("   Parties de laminoirs à métaux, n.d.a.")</f>
        <v xml:space="preserve">   Parties de laminoirs à métaux, n.d.a.</v>
      </c>
      <c r="C9277">
        <v>45741679</v>
      </c>
      <c r="D9277">
        <v>7600</v>
      </c>
    </row>
    <row r="9278" spans="1:4" x14ac:dyDescent="0.25">
      <c r="A9278" t="str">
        <f>T("   850440")</f>
        <v xml:space="preserve">   850440</v>
      </c>
      <c r="B9278" t="str">
        <f>T("   CONVERTISSEURS STATIQUES")</f>
        <v xml:space="preserve">   CONVERTISSEURS STATIQUES</v>
      </c>
      <c r="C9278">
        <v>3744443</v>
      </c>
      <c r="D9278">
        <v>220</v>
      </c>
    </row>
    <row r="9279" spans="1:4" x14ac:dyDescent="0.25">
      <c r="A9279" t="str">
        <f>T("   901812")</f>
        <v xml:space="preserve">   901812</v>
      </c>
      <c r="B9279" t="str">
        <f>T("   Appareils de diagnostic par balayage ultrasonique [scanners]")</f>
        <v xml:space="preserve">   Appareils de diagnostic par balayage ultrasonique [scanners]</v>
      </c>
      <c r="C9279">
        <v>15918007</v>
      </c>
      <c r="D9279">
        <v>197</v>
      </c>
    </row>
    <row r="9280" spans="1:4" x14ac:dyDescent="0.25">
      <c r="A9280" t="str">
        <f>T("SN")</f>
        <v>SN</v>
      </c>
      <c r="B9280" t="str">
        <f>T("Sénégal")</f>
        <v>Sénégal</v>
      </c>
    </row>
    <row r="9281" spans="1:4" x14ac:dyDescent="0.25">
      <c r="A9281" t="str">
        <f>T("   ZZ_Total_Produit_SH6")</f>
        <v xml:space="preserve">   ZZ_Total_Produit_SH6</v>
      </c>
      <c r="B9281" t="str">
        <f>T("   ZZ_Total_Produit_SH6")</f>
        <v xml:space="preserve">   ZZ_Total_Produit_SH6</v>
      </c>
      <c r="C9281">
        <v>5121042360</v>
      </c>
      <c r="D9281">
        <v>68095465</v>
      </c>
    </row>
    <row r="9282" spans="1:4" x14ac:dyDescent="0.25">
      <c r="A9282" t="str">
        <f>T("   030229")</f>
        <v xml:space="preserve">   030229</v>
      </c>
      <c r="B9282"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9282">
        <v>12600992</v>
      </c>
      <c r="D9282">
        <v>56000</v>
      </c>
    </row>
    <row r="9283" spans="1:4" x14ac:dyDescent="0.25">
      <c r="A9283" t="str">
        <f>T("   030269")</f>
        <v xml:space="preserve">   030269</v>
      </c>
      <c r="B9283" t="s">
        <v>15</v>
      </c>
      <c r="C9283">
        <v>5625000</v>
      </c>
      <c r="D9283">
        <v>25000</v>
      </c>
    </row>
    <row r="9284" spans="1:4" x14ac:dyDescent="0.25">
      <c r="A9284" t="str">
        <f>T("   030379")</f>
        <v xml:space="preserve">   030379</v>
      </c>
      <c r="B9284" t="s">
        <v>16</v>
      </c>
      <c r="C9284">
        <v>115140429</v>
      </c>
      <c r="D9284">
        <v>296200</v>
      </c>
    </row>
    <row r="9285" spans="1:4" x14ac:dyDescent="0.25">
      <c r="A9285" t="str">
        <f>T("   030510")</f>
        <v xml:space="preserve">   030510</v>
      </c>
      <c r="B9285" t="str">
        <f>T("   FARINES, POUDRES ET AGGLOMÉRÉS SOUS FORME DE PELLETS DE POISSON, PROPRES À L'ALIMENTATION HUMAINE [01/01/1988-31/12/1991: FARINE DE POISSON PROPRE A L'ALIMENTATION HUMAINE]")</f>
        <v xml:space="preserve">   FARINES, POUDRES ET AGGLOMÉRÉS SOUS FORME DE PELLETS DE POISSON, PROPRES À L'ALIMENTATION HUMAINE [01/01/1988-31/12/1991: FARINE DE POISSON PROPRE A L'ALIMENTATION HUMAINE]</v>
      </c>
      <c r="C9285">
        <v>4879536</v>
      </c>
      <c r="D9285">
        <v>40000</v>
      </c>
    </row>
    <row r="9286" spans="1:4" x14ac:dyDescent="0.25">
      <c r="A9286" t="str">
        <f>T("   040299")</f>
        <v xml:space="preserve">   040299</v>
      </c>
      <c r="B9286"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9286">
        <v>26353667</v>
      </c>
      <c r="D9286">
        <v>25000</v>
      </c>
    </row>
    <row r="9287" spans="1:4" x14ac:dyDescent="0.25">
      <c r="A9287" t="str">
        <f>T("   090220")</f>
        <v xml:space="preserve">   090220</v>
      </c>
      <c r="B9287" t="str">
        <f>T("   Thé vert [thé non fermenté], présenté en emballages immédiats d'un contenu &gt; 3 kg")</f>
        <v xml:space="preserve">   Thé vert [thé non fermenté], présenté en emballages immédiats d'un contenu &gt; 3 kg</v>
      </c>
      <c r="C9287">
        <v>3636363</v>
      </c>
      <c r="D9287">
        <v>10000</v>
      </c>
    </row>
    <row r="9288" spans="1:4" x14ac:dyDescent="0.25">
      <c r="A9288" t="str">
        <f>T("   170199")</f>
        <v xml:space="preserve">   170199</v>
      </c>
      <c r="B928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288">
        <v>1504743</v>
      </c>
      <c r="D9288">
        <v>2966</v>
      </c>
    </row>
    <row r="9289" spans="1:4" x14ac:dyDescent="0.25">
      <c r="A9289" t="str">
        <f>T("   170490")</f>
        <v xml:space="preserve">   170490</v>
      </c>
      <c r="B9289" t="str">
        <f>T("   Sucreries sans cacao, y.c. le chocolat blanc (à l'excl. des gommes à mâcher)")</f>
        <v xml:space="preserve">   Sucreries sans cacao, y.c. le chocolat blanc (à l'excl. des gommes à mâcher)</v>
      </c>
      <c r="C9289">
        <v>3863791</v>
      </c>
      <c r="D9289">
        <v>382</v>
      </c>
    </row>
    <row r="9290" spans="1:4" x14ac:dyDescent="0.25">
      <c r="A9290" t="str">
        <f>T("   180690")</f>
        <v xml:space="preserve">   180690</v>
      </c>
      <c r="B929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290">
        <v>23741160</v>
      </c>
      <c r="D9290">
        <v>47380</v>
      </c>
    </row>
    <row r="9291" spans="1:4" x14ac:dyDescent="0.25">
      <c r="A9291" t="str">
        <f>T("   200190")</f>
        <v xml:space="preserve">   200190</v>
      </c>
      <c r="B9291"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9291">
        <v>545582</v>
      </c>
      <c r="D9291">
        <v>238</v>
      </c>
    </row>
    <row r="9292" spans="1:4" x14ac:dyDescent="0.25">
      <c r="A9292" t="str">
        <f>T("   200799")</f>
        <v xml:space="preserve">   200799</v>
      </c>
      <c r="B9292" t="s">
        <v>55</v>
      </c>
      <c r="C9292">
        <v>10578110</v>
      </c>
      <c r="D9292">
        <v>3718</v>
      </c>
    </row>
    <row r="9293" spans="1:4" x14ac:dyDescent="0.25">
      <c r="A9293" t="str">
        <f>T("   200912")</f>
        <v xml:space="preserve">   200912</v>
      </c>
      <c r="B9293" t="str">
        <f>T("   Jus d'orange, non fermentés, sans addition d'alcool, avec ou sans addition de sucre ou d'autres édulcorants, d'une valeur Brix &lt;= 20 à 20°C (à l'excl. des jus congelés)")</f>
        <v xml:space="preserve">   Jus d'orange, non fermentés, sans addition d'alcool, avec ou sans addition de sucre ou d'autres édulcorants, d'une valeur Brix &lt;= 20 à 20°C (à l'excl. des jus congelés)</v>
      </c>
      <c r="C9293">
        <v>334782</v>
      </c>
      <c r="D9293">
        <v>658</v>
      </c>
    </row>
    <row r="9294" spans="1:4" x14ac:dyDescent="0.25">
      <c r="A9294" t="str">
        <f>T("   200941")</f>
        <v xml:space="preserve">   200941</v>
      </c>
      <c r="B9294"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9294">
        <v>334798</v>
      </c>
      <c r="D9294">
        <v>658</v>
      </c>
    </row>
    <row r="9295" spans="1:4" x14ac:dyDescent="0.25">
      <c r="A9295" t="str">
        <f>T("   200980")</f>
        <v xml:space="preserve">   200980</v>
      </c>
      <c r="B929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295">
        <v>3074302</v>
      </c>
      <c r="D9295">
        <v>4979</v>
      </c>
    </row>
    <row r="9296" spans="1:4" x14ac:dyDescent="0.25">
      <c r="A9296" t="str">
        <f>T("   200990")</f>
        <v xml:space="preserve">   200990</v>
      </c>
      <c r="B929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296">
        <v>334782</v>
      </c>
      <c r="D9296">
        <v>658</v>
      </c>
    </row>
    <row r="9297" spans="1:4" x14ac:dyDescent="0.25">
      <c r="A9297" t="str">
        <f>T("   210210")</f>
        <v xml:space="preserve">   210210</v>
      </c>
      <c r="B9297" t="str">
        <f>T("   Levures vivantes")</f>
        <v xml:space="preserve">   Levures vivantes</v>
      </c>
      <c r="C9297">
        <v>63280</v>
      </c>
      <c r="D9297">
        <v>122</v>
      </c>
    </row>
    <row r="9298" spans="1:4" x14ac:dyDescent="0.25">
      <c r="A9298" t="str">
        <f>T("   210330")</f>
        <v xml:space="preserve">   210330</v>
      </c>
      <c r="B9298" t="str">
        <f>T("   Farine de moutarde et moutarde préparée")</f>
        <v xml:space="preserve">   Farine de moutarde et moutarde préparée</v>
      </c>
      <c r="C9298">
        <v>36825195</v>
      </c>
      <c r="D9298">
        <v>95890</v>
      </c>
    </row>
    <row r="9299" spans="1:4" x14ac:dyDescent="0.25">
      <c r="A9299" t="str">
        <f>T("   210410")</f>
        <v xml:space="preserve">   210410</v>
      </c>
      <c r="B9299" t="str">
        <f>T("   Préparations pour soupes, potages ou bouillons; soupes, potages ou bouillons préparés")</f>
        <v xml:space="preserve">   Préparations pour soupes, potages ou bouillons; soupes, potages ou bouillons préparés</v>
      </c>
      <c r="C9299">
        <v>43220549</v>
      </c>
      <c r="D9299">
        <v>125970</v>
      </c>
    </row>
    <row r="9300" spans="1:4" x14ac:dyDescent="0.25">
      <c r="A9300" t="str">
        <f>T("   210690")</f>
        <v xml:space="preserve">   210690</v>
      </c>
      <c r="B9300" t="str">
        <f>T("   Préparations alimentaires, n.d.a.")</f>
        <v xml:space="preserve">   Préparations alimentaires, n.d.a.</v>
      </c>
      <c r="C9300">
        <v>6524418</v>
      </c>
      <c r="D9300">
        <v>7812</v>
      </c>
    </row>
    <row r="9301" spans="1:4" x14ac:dyDescent="0.25">
      <c r="A9301" t="str">
        <f>T("   220210")</f>
        <v xml:space="preserve">   220210</v>
      </c>
      <c r="B930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301">
        <v>1263510</v>
      </c>
      <c r="D9301">
        <v>3893</v>
      </c>
    </row>
    <row r="9302" spans="1:4" x14ac:dyDescent="0.25">
      <c r="A9302" t="str">
        <f>T("   220290")</f>
        <v xml:space="preserve">   220290</v>
      </c>
      <c r="B9302" t="str">
        <f>T("   BOISSONS NON-ALCOOLIQUES (À L'EXCL. DES EAUX, DES JUS DE FRUITS OU DE LÉGUMES AINSI QUE DU LAIT)")</f>
        <v xml:space="preserve">   BOISSONS NON-ALCOOLIQUES (À L'EXCL. DES EAUX, DES JUS DE FRUITS OU DE LÉGUMES AINSI QUE DU LAIT)</v>
      </c>
      <c r="C9302">
        <v>3644600</v>
      </c>
      <c r="D9302">
        <v>18286</v>
      </c>
    </row>
    <row r="9303" spans="1:4" x14ac:dyDescent="0.25">
      <c r="A9303" t="str">
        <f>T("   220710")</f>
        <v xml:space="preserve">   220710</v>
      </c>
      <c r="B9303" t="str">
        <f>T("   Alcool éthylique non dénaturé d'un titre alcoométrique volumique &gt;= 80% vol")</f>
        <v xml:space="preserve">   Alcool éthylique non dénaturé d'un titre alcoométrique volumique &gt;= 80% vol</v>
      </c>
      <c r="C9303">
        <v>394475</v>
      </c>
      <c r="D9303">
        <v>54</v>
      </c>
    </row>
    <row r="9304" spans="1:4" x14ac:dyDescent="0.25">
      <c r="A9304" t="str">
        <f>T("   230120")</f>
        <v xml:space="preserve">   230120</v>
      </c>
      <c r="B9304"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304">
        <v>155487167</v>
      </c>
      <c r="D9304">
        <v>1556000</v>
      </c>
    </row>
    <row r="9305" spans="1:4" x14ac:dyDescent="0.25">
      <c r="A9305" t="str">
        <f>T("   240220")</f>
        <v xml:space="preserve">   240220</v>
      </c>
      <c r="B9305" t="str">
        <f>T("   Cigarettes contenant du tabac")</f>
        <v xml:space="preserve">   Cigarettes contenant du tabac</v>
      </c>
      <c r="C9305">
        <v>51348500</v>
      </c>
      <c r="D9305">
        <v>10587</v>
      </c>
    </row>
    <row r="9306" spans="1:4" x14ac:dyDescent="0.25">
      <c r="A9306" t="str">
        <f>T("   250100")</f>
        <v xml:space="preserve">   250100</v>
      </c>
      <c r="B9306" t="s">
        <v>63</v>
      </c>
      <c r="C9306">
        <v>1886747504</v>
      </c>
      <c r="D9306">
        <v>34685570</v>
      </c>
    </row>
    <row r="9307" spans="1:4" x14ac:dyDescent="0.25">
      <c r="A9307" t="str">
        <f>T("   252310")</f>
        <v xml:space="preserve">   252310</v>
      </c>
      <c r="B9307" t="str">
        <f>T("   Ciments non pulvérisés dits 'clinkers'")</f>
        <v xml:space="preserve">   Ciments non pulvérisés dits 'clinkers'</v>
      </c>
      <c r="C9307">
        <v>759482500</v>
      </c>
      <c r="D9307">
        <v>21699500</v>
      </c>
    </row>
    <row r="9308" spans="1:4" x14ac:dyDescent="0.25">
      <c r="A9308" t="str">
        <f>T("   252329")</f>
        <v xml:space="preserve">   252329</v>
      </c>
      <c r="B9308" t="str">
        <f>T("   Ciment Portland normal ou modéré (à l'excl. des ciments Portland blancs, même colorés artificiellement)")</f>
        <v xml:space="preserve">   Ciment Portland normal ou modéré (à l'excl. des ciments Portland blancs, même colorés artificiellement)</v>
      </c>
      <c r="C9308">
        <v>402411702</v>
      </c>
      <c r="D9308">
        <v>7840000</v>
      </c>
    </row>
    <row r="9309" spans="1:4" x14ac:dyDescent="0.25">
      <c r="A9309" t="str">
        <f>T("   282890")</f>
        <v xml:space="preserve">   282890</v>
      </c>
      <c r="B9309" t="str">
        <f>T("   Hypochlorites, chlorites et hypobromites (à l'excl. des hypochlorites de calcium)")</f>
        <v xml:space="preserve">   Hypochlorites, chlorites et hypobromites (à l'excl. des hypochlorites de calcium)</v>
      </c>
      <c r="C9309">
        <v>53710180</v>
      </c>
      <c r="D9309">
        <v>128421</v>
      </c>
    </row>
    <row r="9310" spans="1:4" x14ac:dyDescent="0.25">
      <c r="A9310" t="str">
        <f>T("   283630")</f>
        <v xml:space="preserve">   283630</v>
      </c>
      <c r="B9310" t="str">
        <f>T("   Hydrogénocarbonate [bicarbonate] de sodium")</f>
        <v xml:space="preserve">   Hydrogénocarbonate [bicarbonate] de sodium</v>
      </c>
      <c r="C9310">
        <v>604368</v>
      </c>
      <c r="D9310">
        <v>2301</v>
      </c>
    </row>
    <row r="9311" spans="1:4" x14ac:dyDescent="0.25">
      <c r="A9311" t="str">
        <f>T("   300390")</f>
        <v xml:space="preserve">   300390</v>
      </c>
      <c r="B9311" t="s">
        <v>77</v>
      </c>
      <c r="C9311">
        <v>63612994</v>
      </c>
      <c r="D9311">
        <v>2589</v>
      </c>
    </row>
    <row r="9312" spans="1:4" x14ac:dyDescent="0.25">
      <c r="A9312" t="str">
        <f>T("   300410")</f>
        <v xml:space="preserve">   300410</v>
      </c>
      <c r="B9312" t="s">
        <v>78</v>
      </c>
      <c r="C9312">
        <v>129733801</v>
      </c>
      <c r="D9312">
        <v>6807</v>
      </c>
    </row>
    <row r="9313" spans="1:4" x14ac:dyDescent="0.25">
      <c r="A9313" t="str">
        <f>T("   300420")</f>
        <v xml:space="preserve">   300420</v>
      </c>
      <c r="B9313" t="s">
        <v>79</v>
      </c>
      <c r="C9313">
        <v>450000</v>
      </c>
      <c r="D9313">
        <v>244</v>
      </c>
    </row>
    <row r="9314" spans="1:4" x14ac:dyDescent="0.25">
      <c r="A9314" t="str">
        <f>T("   300490")</f>
        <v xml:space="preserve">   300490</v>
      </c>
      <c r="B9314" t="s">
        <v>84</v>
      </c>
      <c r="C9314">
        <v>244495440</v>
      </c>
      <c r="D9314">
        <v>26689</v>
      </c>
    </row>
    <row r="9315" spans="1:4" x14ac:dyDescent="0.25">
      <c r="A9315" t="str">
        <f>T("   300610")</f>
        <v xml:space="preserve">   300610</v>
      </c>
      <c r="B9315" t="s">
        <v>86</v>
      </c>
      <c r="C9315">
        <v>2000000</v>
      </c>
      <c r="D9315">
        <v>100</v>
      </c>
    </row>
    <row r="9316" spans="1:4" x14ac:dyDescent="0.25">
      <c r="A9316" t="str">
        <f>T("   321590")</f>
        <v xml:space="preserve">   321590</v>
      </c>
      <c r="B9316" t="str">
        <f>T("   Encres à écrire et à dessiner, même concentrées ou sous formes solides")</f>
        <v xml:space="preserve">   Encres à écrire et à dessiner, même concentrées ou sous formes solides</v>
      </c>
      <c r="C9316">
        <v>150000</v>
      </c>
      <c r="D9316">
        <v>116</v>
      </c>
    </row>
    <row r="9317" spans="1:4" x14ac:dyDescent="0.25">
      <c r="A9317" t="str">
        <f>T("   330210")</f>
        <v xml:space="preserve">   330210</v>
      </c>
      <c r="B9317"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317">
        <v>16413500</v>
      </c>
      <c r="D9317">
        <v>69663</v>
      </c>
    </row>
    <row r="9318" spans="1:4" x14ac:dyDescent="0.25">
      <c r="A9318" t="str">
        <f>T("   330290")</f>
        <v xml:space="preserve">   330290</v>
      </c>
      <c r="B9318" t="s">
        <v>105</v>
      </c>
      <c r="C9318">
        <v>9071187</v>
      </c>
      <c r="D9318">
        <v>17454</v>
      </c>
    </row>
    <row r="9319" spans="1:4" x14ac:dyDescent="0.25">
      <c r="A9319" t="str">
        <f>T("   330300")</f>
        <v xml:space="preserve">   330300</v>
      </c>
      <c r="B9319"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319">
        <v>3896353</v>
      </c>
      <c r="D9319">
        <v>9779</v>
      </c>
    </row>
    <row r="9320" spans="1:4" x14ac:dyDescent="0.25">
      <c r="A9320" t="str">
        <f>T("   330491")</f>
        <v xml:space="preserve">   330491</v>
      </c>
      <c r="B9320"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320">
        <v>313067</v>
      </c>
      <c r="D9320">
        <v>1439</v>
      </c>
    </row>
    <row r="9321" spans="1:4" x14ac:dyDescent="0.25">
      <c r="A9321" t="str">
        <f>T("   330499")</f>
        <v xml:space="preserve">   330499</v>
      </c>
      <c r="B9321" t="s">
        <v>106</v>
      </c>
      <c r="C9321">
        <v>3054877</v>
      </c>
      <c r="D9321">
        <v>15332</v>
      </c>
    </row>
    <row r="9322" spans="1:4" x14ac:dyDescent="0.25">
      <c r="A9322" t="str">
        <f>T("   330590")</f>
        <v xml:space="preserve">   330590</v>
      </c>
      <c r="B9322"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9322">
        <v>4595860</v>
      </c>
      <c r="D9322">
        <v>22737</v>
      </c>
    </row>
    <row r="9323" spans="1:4" x14ac:dyDescent="0.25">
      <c r="A9323" t="str">
        <f>T("   330610")</f>
        <v xml:space="preserve">   330610</v>
      </c>
      <c r="B9323" t="str">
        <f>T("   Dentifrices, préparés, même des types utilisés par les dentistes")</f>
        <v xml:space="preserve">   Dentifrices, préparés, même des types utilisés par les dentistes</v>
      </c>
      <c r="C9323">
        <v>17222591</v>
      </c>
      <c r="D9323">
        <v>57988</v>
      </c>
    </row>
    <row r="9324" spans="1:4" x14ac:dyDescent="0.25">
      <c r="A9324" t="str">
        <f>T("   330749")</f>
        <v xml:space="preserve">   330749</v>
      </c>
      <c r="B932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9324">
        <v>100000</v>
      </c>
      <c r="D9324">
        <v>54</v>
      </c>
    </row>
    <row r="9325" spans="1:4" x14ac:dyDescent="0.25">
      <c r="A9325" t="str">
        <f>T("   340111")</f>
        <v xml:space="preserve">   340111</v>
      </c>
      <c r="B9325" t="s">
        <v>107</v>
      </c>
      <c r="C9325">
        <v>12087731</v>
      </c>
      <c r="D9325">
        <v>33733</v>
      </c>
    </row>
    <row r="9326" spans="1:4" x14ac:dyDescent="0.25">
      <c r="A9326" t="str">
        <f>T("   340120")</f>
        <v xml:space="preserve">   340120</v>
      </c>
      <c r="B9326" t="str">
        <f>T("   Savons en flocons, en paillettes, en granulés ou en poudres et savons liquides ou pâteux")</f>
        <v xml:space="preserve">   Savons en flocons, en paillettes, en granulés ou en poudres et savons liquides ou pâteux</v>
      </c>
      <c r="C9326">
        <v>1489968</v>
      </c>
      <c r="D9326">
        <v>2486</v>
      </c>
    </row>
    <row r="9327" spans="1:4" x14ac:dyDescent="0.25">
      <c r="A9327" t="str">
        <f>T("   340220")</f>
        <v xml:space="preserve">   340220</v>
      </c>
      <c r="B9327" t="s">
        <v>109</v>
      </c>
      <c r="C9327">
        <v>34872664</v>
      </c>
      <c r="D9327">
        <v>43621</v>
      </c>
    </row>
    <row r="9328" spans="1:4" x14ac:dyDescent="0.25">
      <c r="A9328" t="str">
        <f>T("   340290")</f>
        <v xml:space="preserve">   340290</v>
      </c>
      <c r="B9328" t="s">
        <v>110</v>
      </c>
      <c r="C9328">
        <v>21830743</v>
      </c>
      <c r="D9328">
        <v>45792</v>
      </c>
    </row>
    <row r="9329" spans="1:4" x14ac:dyDescent="0.25">
      <c r="A9329" t="str">
        <f>T("   340540")</f>
        <v xml:space="preserve">   340540</v>
      </c>
      <c r="B9329"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9329">
        <v>5557030</v>
      </c>
      <c r="D9329">
        <v>6750</v>
      </c>
    </row>
    <row r="9330" spans="1:4" x14ac:dyDescent="0.25">
      <c r="A9330" t="str">
        <f>T("   380891")</f>
        <v xml:space="preserve">   380891</v>
      </c>
      <c r="B9330" t="str">
        <f>T("   INSECTICIDES (À L'EXCL. DES MARCHANDISES DU N° 3808.50)")</f>
        <v xml:space="preserve">   INSECTICIDES (À L'EXCL. DES MARCHANDISES DU N° 3808.50)</v>
      </c>
      <c r="C9330">
        <v>7821472</v>
      </c>
      <c r="D9330">
        <v>4411</v>
      </c>
    </row>
    <row r="9331" spans="1:4" x14ac:dyDescent="0.25">
      <c r="A9331" t="str">
        <f>T("   382200")</f>
        <v xml:space="preserve">   382200</v>
      </c>
      <c r="B9331" t="s">
        <v>133</v>
      </c>
      <c r="C9331">
        <v>26418789</v>
      </c>
      <c r="D9331">
        <v>24</v>
      </c>
    </row>
    <row r="9332" spans="1:4" x14ac:dyDescent="0.25">
      <c r="A9332" t="str">
        <f>T("   391721")</f>
        <v xml:space="preserve">   391721</v>
      </c>
      <c r="B9332" t="str">
        <f>T("   TUBES ET TUYAUX RIGIDES, EN POLYMÈRES DE L'ÉTHYLÈNE")</f>
        <v xml:space="preserve">   TUBES ET TUYAUX RIGIDES, EN POLYMÈRES DE L'ÉTHYLÈNE</v>
      </c>
      <c r="C9332">
        <v>9068502</v>
      </c>
      <c r="D9332">
        <v>8599</v>
      </c>
    </row>
    <row r="9333" spans="1:4" x14ac:dyDescent="0.25">
      <c r="A9333" t="str">
        <f>T("   391739")</f>
        <v xml:space="preserve">   391739</v>
      </c>
      <c r="B933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9333">
        <v>2964241</v>
      </c>
      <c r="D9333">
        <v>2538</v>
      </c>
    </row>
    <row r="9334" spans="1:4" x14ac:dyDescent="0.25">
      <c r="A9334" t="str">
        <f>T("   392350")</f>
        <v xml:space="preserve">   392350</v>
      </c>
      <c r="B9334" t="str">
        <f>T("   Bouchons, couvercles, capsules et autres dispositifs de fermeture, en matières plastiques")</f>
        <v xml:space="preserve">   Bouchons, couvercles, capsules et autres dispositifs de fermeture, en matières plastiques</v>
      </c>
      <c r="C9334">
        <v>1927350</v>
      </c>
      <c r="D9334">
        <v>120</v>
      </c>
    </row>
    <row r="9335" spans="1:4" x14ac:dyDescent="0.25">
      <c r="A9335" t="str">
        <f>T("   392410")</f>
        <v xml:space="preserve">   392410</v>
      </c>
      <c r="B9335" t="str">
        <f>T("   Vaisselle et autres articles pour le service de la table ou de la cuisine, en matières plastiques")</f>
        <v xml:space="preserve">   Vaisselle et autres articles pour le service de la table ou de la cuisine, en matières plastiques</v>
      </c>
      <c r="C9335">
        <v>5421957</v>
      </c>
      <c r="D9335">
        <v>3727</v>
      </c>
    </row>
    <row r="9336" spans="1:4" x14ac:dyDescent="0.25">
      <c r="A9336" t="str">
        <f>T("   392490")</f>
        <v xml:space="preserve">   392490</v>
      </c>
      <c r="B9336" t="s">
        <v>157</v>
      </c>
      <c r="C9336">
        <v>1567045</v>
      </c>
      <c r="D9336">
        <v>1638</v>
      </c>
    </row>
    <row r="9337" spans="1:4" x14ac:dyDescent="0.25">
      <c r="A9337" t="str">
        <f>T("   401110")</f>
        <v xml:space="preserve">   401110</v>
      </c>
      <c r="B933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9337">
        <v>17240000</v>
      </c>
      <c r="D9337">
        <v>5276</v>
      </c>
    </row>
    <row r="9338" spans="1:4" x14ac:dyDescent="0.25">
      <c r="A9338" t="str">
        <f>T("   401120")</f>
        <v xml:space="preserve">   401120</v>
      </c>
      <c r="B933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338">
        <v>19395000</v>
      </c>
      <c r="D9338">
        <v>6349</v>
      </c>
    </row>
    <row r="9339" spans="1:4" x14ac:dyDescent="0.25">
      <c r="A9339" t="str">
        <f>T("   420221")</f>
        <v xml:space="preserve">   420221</v>
      </c>
      <c r="B9339"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9339">
        <v>50000</v>
      </c>
      <c r="D9339">
        <v>50</v>
      </c>
    </row>
    <row r="9340" spans="1:4" x14ac:dyDescent="0.25">
      <c r="A9340" t="str">
        <f>T("   420229")</f>
        <v xml:space="preserve">   420229</v>
      </c>
      <c r="B934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340">
        <v>1005000</v>
      </c>
      <c r="D9340">
        <v>741</v>
      </c>
    </row>
    <row r="9341" spans="1:4" x14ac:dyDescent="0.25">
      <c r="A9341" t="str">
        <f>T("   481013")</f>
        <v xml:space="preserve">   481013</v>
      </c>
      <c r="B9341" t="s">
        <v>221</v>
      </c>
      <c r="C9341">
        <v>320200</v>
      </c>
      <c r="D9341">
        <v>432</v>
      </c>
    </row>
    <row r="9342" spans="1:4" x14ac:dyDescent="0.25">
      <c r="A9342" t="str">
        <f>T("   482010")</f>
        <v xml:space="preserve">   482010</v>
      </c>
      <c r="B9342"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342">
        <v>414250</v>
      </c>
      <c r="D9342">
        <v>85</v>
      </c>
    </row>
    <row r="9343" spans="1:4" x14ac:dyDescent="0.25">
      <c r="A9343" t="str">
        <f>T("   482190")</f>
        <v xml:space="preserve">   482190</v>
      </c>
      <c r="B9343" t="str">
        <f>T("   ÉTIQUETTES DE TOUS GENRES, EN PAPIER OU EN CARTON, NON-IMPRIMÉES")</f>
        <v xml:space="preserve">   ÉTIQUETTES DE TOUS GENRES, EN PAPIER OU EN CARTON, NON-IMPRIMÉES</v>
      </c>
      <c r="C9343">
        <v>813600</v>
      </c>
      <c r="D9343">
        <v>390</v>
      </c>
    </row>
    <row r="9344" spans="1:4" x14ac:dyDescent="0.25">
      <c r="A9344" t="str">
        <f>T("   490199")</f>
        <v xml:space="preserve">   490199</v>
      </c>
      <c r="B934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344">
        <v>4773401</v>
      </c>
      <c r="D9344">
        <v>2425</v>
      </c>
    </row>
    <row r="9345" spans="1:4" x14ac:dyDescent="0.25">
      <c r="A9345" t="str">
        <f>T("   491110")</f>
        <v xml:space="preserve">   491110</v>
      </c>
      <c r="B9345" t="str">
        <f>T("   Imprimés publicitaires, catalogues commerciaux et simil.")</f>
        <v xml:space="preserve">   Imprimés publicitaires, catalogues commerciaux et simil.</v>
      </c>
      <c r="C9345">
        <v>818915</v>
      </c>
      <c r="D9345">
        <v>755</v>
      </c>
    </row>
    <row r="9346" spans="1:4" x14ac:dyDescent="0.25">
      <c r="A9346" t="str">
        <f>T("   491199")</f>
        <v xml:space="preserve">   491199</v>
      </c>
      <c r="B9346" t="str">
        <f>T("   Imprimés, n.d.a.")</f>
        <v xml:space="preserve">   Imprimés, n.d.a.</v>
      </c>
      <c r="C9346">
        <v>2708659</v>
      </c>
      <c r="D9346">
        <v>636</v>
      </c>
    </row>
    <row r="9347" spans="1:4" x14ac:dyDescent="0.25">
      <c r="A9347" t="str">
        <f>T("   520819")</f>
        <v xml:space="preserve">   520819</v>
      </c>
      <c r="B9347"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9347">
        <v>2450000</v>
      </c>
      <c r="D9347">
        <v>1750</v>
      </c>
    </row>
    <row r="9348" spans="1:4" x14ac:dyDescent="0.25">
      <c r="A9348" t="str">
        <f>T("   520849")</f>
        <v xml:space="preserve">   520849</v>
      </c>
      <c r="B9348"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9348">
        <v>899691</v>
      </c>
      <c r="D9348">
        <v>907</v>
      </c>
    </row>
    <row r="9349" spans="1:4" x14ac:dyDescent="0.25">
      <c r="A9349" t="str">
        <f>T("   520939")</f>
        <v xml:space="preserve">   520939</v>
      </c>
      <c r="B9349" t="str">
        <f>T("   Tissus de coton, teints, contenant &gt;= 85% en poids de coton, d'un poids &gt; 200 g/m² (à l'excl. des tissus à armure toile ou à armure sergé [y.c. le croisé] d'un rapport d'armure &lt;= 4)")</f>
        <v xml:space="preserve">   Tissus de coton, teints, contenant &gt;= 85% en poids de coton, d'un poids &gt; 200 g/m² (à l'excl. des tissus à armure toile ou à armure sergé [y.c. le croisé] d'un rapport d'armure &lt;= 4)</v>
      </c>
      <c r="C9349">
        <v>169400</v>
      </c>
      <c r="D9349">
        <v>215</v>
      </c>
    </row>
    <row r="9350" spans="1:4" x14ac:dyDescent="0.25">
      <c r="A9350" t="str">
        <f>T("   581099")</f>
        <v xml:space="preserve">   581099</v>
      </c>
      <c r="B9350"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9350">
        <v>156400</v>
      </c>
      <c r="D9350">
        <v>146</v>
      </c>
    </row>
    <row r="9351" spans="1:4" x14ac:dyDescent="0.25">
      <c r="A9351" t="str">
        <f>T("   610590")</f>
        <v xml:space="preserve">   610590</v>
      </c>
      <c r="B9351"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9351">
        <v>400000</v>
      </c>
      <c r="D9351">
        <v>219</v>
      </c>
    </row>
    <row r="9352" spans="1:4" x14ac:dyDescent="0.25">
      <c r="A9352" t="str">
        <f>T("   610910")</f>
        <v xml:space="preserve">   610910</v>
      </c>
      <c r="B9352" t="str">
        <f>T("   T-shirts et maillots de corps, en bonneterie, de coton,")</f>
        <v xml:space="preserve">   T-shirts et maillots de corps, en bonneterie, de coton,</v>
      </c>
      <c r="C9352">
        <v>37500</v>
      </c>
      <c r="D9352">
        <v>12</v>
      </c>
    </row>
    <row r="9353" spans="1:4" x14ac:dyDescent="0.25">
      <c r="A9353" t="str">
        <f>T("   610990")</f>
        <v xml:space="preserve">   610990</v>
      </c>
      <c r="B9353" t="str">
        <f>T("   T-shirts et maillots de corps, en bonneterie, de matières textiles (sauf de coton)")</f>
        <v xml:space="preserve">   T-shirts et maillots de corps, en bonneterie, de matières textiles (sauf de coton)</v>
      </c>
      <c r="C9353">
        <v>388300</v>
      </c>
      <c r="D9353">
        <v>54</v>
      </c>
    </row>
    <row r="9354" spans="1:4" x14ac:dyDescent="0.25">
      <c r="A9354" t="str">
        <f>T("   611239")</f>
        <v xml:space="preserve">   611239</v>
      </c>
      <c r="B9354" t="str">
        <f>T("   Maillots, culottes et slips de bain, en bonneterie, de matières textiles, pour hommes ou garçonnets (sauf de fibres synthétiques)")</f>
        <v xml:space="preserve">   Maillots, culottes et slips de bain, en bonneterie, de matières textiles, pour hommes ou garçonnets (sauf de fibres synthétiques)</v>
      </c>
      <c r="C9354">
        <v>6000</v>
      </c>
      <c r="D9354">
        <v>71</v>
      </c>
    </row>
    <row r="9355" spans="1:4" x14ac:dyDescent="0.25">
      <c r="A9355" t="str">
        <f>T("   611610")</f>
        <v xml:space="preserve">   611610</v>
      </c>
      <c r="B9355"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9355">
        <v>179025</v>
      </c>
      <c r="D9355">
        <v>58</v>
      </c>
    </row>
    <row r="9356" spans="1:4" x14ac:dyDescent="0.25">
      <c r="A9356" t="str">
        <f>T("   620322")</f>
        <v xml:space="preserve">   620322</v>
      </c>
      <c r="B9356"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9356">
        <v>3683208</v>
      </c>
      <c r="D9356">
        <v>140</v>
      </c>
    </row>
    <row r="9357" spans="1:4" x14ac:dyDescent="0.25">
      <c r="A9357" t="str">
        <f>T("   620349")</f>
        <v xml:space="preserve">   620349</v>
      </c>
      <c r="B9357" t="s">
        <v>289</v>
      </c>
      <c r="C9357">
        <v>60000</v>
      </c>
      <c r="D9357">
        <v>55</v>
      </c>
    </row>
    <row r="9358" spans="1:4" x14ac:dyDescent="0.25">
      <c r="A9358" t="str">
        <f>T("   620590")</f>
        <v xml:space="preserve">   620590</v>
      </c>
      <c r="B935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358">
        <v>3063500</v>
      </c>
      <c r="D9358">
        <v>2943</v>
      </c>
    </row>
    <row r="9359" spans="1:4" x14ac:dyDescent="0.25">
      <c r="A9359" t="str">
        <f>T("   620630")</f>
        <v xml:space="preserve">   620630</v>
      </c>
      <c r="B9359"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9359">
        <v>75000</v>
      </c>
      <c r="D9359">
        <v>67</v>
      </c>
    </row>
    <row r="9360" spans="1:4" x14ac:dyDescent="0.25">
      <c r="A9360" t="str">
        <f>T("   620799")</f>
        <v xml:space="preserve">   620799</v>
      </c>
      <c r="B9360"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9360">
        <v>7000</v>
      </c>
      <c r="D9360">
        <v>48</v>
      </c>
    </row>
    <row r="9361" spans="1:4" x14ac:dyDescent="0.25">
      <c r="A9361" t="str">
        <f>T("   621020")</f>
        <v xml:space="preserve">   621020</v>
      </c>
      <c r="B9361"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9361">
        <v>1377819</v>
      </c>
      <c r="D9361">
        <v>2706</v>
      </c>
    </row>
    <row r="9362" spans="1:4" x14ac:dyDescent="0.25">
      <c r="A9362" t="str">
        <f>T("   621030")</f>
        <v xml:space="preserve">   621030</v>
      </c>
      <c r="B9362"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9362">
        <v>260000</v>
      </c>
      <c r="D9362">
        <v>800</v>
      </c>
    </row>
    <row r="9363" spans="1:4" x14ac:dyDescent="0.25">
      <c r="A9363" t="str">
        <f>T("   621040")</f>
        <v xml:space="preserve">   621040</v>
      </c>
      <c r="B9363" t="s">
        <v>294</v>
      </c>
      <c r="C9363">
        <v>2374722</v>
      </c>
      <c r="D9363">
        <v>2182</v>
      </c>
    </row>
    <row r="9364" spans="1:4" x14ac:dyDescent="0.25">
      <c r="A9364" t="str">
        <f>T("   621050")</f>
        <v xml:space="preserve">   621050</v>
      </c>
      <c r="B9364" t="s">
        <v>295</v>
      </c>
      <c r="C9364">
        <v>3416190</v>
      </c>
      <c r="D9364">
        <v>3660</v>
      </c>
    </row>
    <row r="9365" spans="1:4" x14ac:dyDescent="0.25">
      <c r="A9365" t="str">
        <f>T("   630510")</f>
        <v xml:space="preserve">   630510</v>
      </c>
      <c r="B9365" t="str">
        <f>T("   Sacs et sachets d'emballage de jute ou d'autres fibres textiles libériennes du n° 5303")</f>
        <v xml:space="preserve">   Sacs et sachets d'emballage de jute ou d'autres fibres textiles libériennes du n° 5303</v>
      </c>
      <c r="C9365">
        <v>25000</v>
      </c>
      <c r="D9365">
        <v>50</v>
      </c>
    </row>
    <row r="9366" spans="1:4" x14ac:dyDescent="0.25">
      <c r="A9366" t="str">
        <f>T("   640320")</f>
        <v xml:space="preserve">   640320</v>
      </c>
      <c r="B9366"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9366">
        <v>741000</v>
      </c>
      <c r="D9366">
        <v>846</v>
      </c>
    </row>
    <row r="9367" spans="1:4" x14ac:dyDescent="0.25">
      <c r="A9367" t="str">
        <f>T("   640590")</f>
        <v xml:space="preserve">   640590</v>
      </c>
      <c r="B9367" t="s">
        <v>311</v>
      </c>
      <c r="C9367">
        <v>2215000</v>
      </c>
      <c r="D9367">
        <v>1974</v>
      </c>
    </row>
    <row r="9368" spans="1:4" x14ac:dyDescent="0.25">
      <c r="A9368" t="str">
        <f>T("   650699")</f>
        <v xml:space="preserve">   650699</v>
      </c>
      <c r="B9368" t="str">
        <f>T("   Chapeaux et autres coiffures, même garnis, n.d.a.")</f>
        <v xml:space="preserve">   Chapeaux et autres coiffures, même garnis, n.d.a.</v>
      </c>
      <c r="C9368">
        <v>597798</v>
      </c>
      <c r="D9368">
        <v>24</v>
      </c>
    </row>
    <row r="9369" spans="1:4" x14ac:dyDescent="0.25">
      <c r="A9369" t="str">
        <f>T("   721914")</f>
        <v xml:space="preserve">   721914</v>
      </c>
      <c r="B9369" t="str">
        <f>T("   PRODUITS LAMINÉS PLATS, EN ACIERS INOXYDABLES, D'UNE LARGEUR &gt;= 600 MM, SIMPL. LAMINÉS À CHAUD, ENROULÉS, D'UNE ÉPAISSEUR &lt; 3 MM")</f>
        <v xml:space="preserve">   PRODUITS LAMINÉS PLATS, EN ACIERS INOXYDABLES, D'UNE LARGEUR &gt;= 600 MM, SIMPL. LAMINÉS À CHAUD, ENROULÉS, D'UNE ÉPAISSEUR &lt; 3 MM</v>
      </c>
      <c r="C9369">
        <v>12833837</v>
      </c>
      <c r="D9369">
        <v>25488</v>
      </c>
    </row>
    <row r="9370" spans="1:4" x14ac:dyDescent="0.25">
      <c r="A9370" t="str">
        <f>T("   721990")</f>
        <v xml:space="preserve">   721990</v>
      </c>
      <c r="B9370"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9370">
        <v>54962858</v>
      </c>
      <c r="D9370">
        <v>129060</v>
      </c>
    </row>
    <row r="9371" spans="1:4" x14ac:dyDescent="0.25">
      <c r="A9371" t="str">
        <f>T("   730890")</f>
        <v xml:space="preserve">   730890</v>
      </c>
      <c r="B9371" t="s">
        <v>376</v>
      </c>
      <c r="C9371">
        <v>11875500</v>
      </c>
      <c r="D9371">
        <v>2119</v>
      </c>
    </row>
    <row r="9372" spans="1:4" x14ac:dyDescent="0.25">
      <c r="A9372" t="str">
        <f>T("   732394")</f>
        <v xml:space="preserve">   732394</v>
      </c>
      <c r="B9372" t="s">
        <v>389</v>
      </c>
      <c r="C9372">
        <v>800000</v>
      </c>
      <c r="D9372">
        <v>600</v>
      </c>
    </row>
    <row r="9373" spans="1:4" x14ac:dyDescent="0.25">
      <c r="A9373" t="str">
        <f>T("   732399")</f>
        <v xml:space="preserve">   732399</v>
      </c>
      <c r="B9373" t="s">
        <v>390</v>
      </c>
      <c r="C9373">
        <v>1700000</v>
      </c>
      <c r="D9373">
        <v>1700</v>
      </c>
    </row>
    <row r="9374" spans="1:4" x14ac:dyDescent="0.25">
      <c r="A9374" t="str">
        <f>T("   732690")</f>
        <v xml:space="preserve">   732690</v>
      </c>
      <c r="B937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374">
        <v>5106648</v>
      </c>
      <c r="D9374">
        <v>911</v>
      </c>
    </row>
    <row r="9375" spans="1:4" x14ac:dyDescent="0.25">
      <c r="A9375" t="str">
        <f>T("   840999")</f>
        <v xml:space="preserve">   840999</v>
      </c>
      <c r="B937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375">
        <v>100000</v>
      </c>
      <c r="D9375">
        <v>88</v>
      </c>
    </row>
    <row r="9376" spans="1:4" x14ac:dyDescent="0.25">
      <c r="A9376" t="str">
        <f>T("   841121")</f>
        <v xml:space="preserve">   841121</v>
      </c>
      <c r="B9376" t="str">
        <f>T("   Turbopropulseurs, puissance &lt;= 1.100 kW")</f>
        <v xml:space="preserve">   Turbopropulseurs, puissance &lt;= 1.100 kW</v>
      </c>
      <c r="C9376">
        <v>200000</v>
      </c>
      <c r="D9376">
        <v>106</v>
      </c>
    </row>
    <row r="9377" spans="1:4" x14ac:dyDescent="0.25">
      <c r="A9377" t="str">
        <f>T("   841440")</f>
        <v xml:space="preserve">   841440</v>
      </c>
      <c r="B9377" t="str">
        <f>T("   Compresseurs d'air montés sur châssis à roues et remorquables")</f>
        <v xml:space="preserve">   Compresseurs d'air montés sur châssis à roues et remorquables</v>
      </c>
      <c r="C9377">
        <v>815438</v>
      </c>
      <c r="D9377">
        <v>148</v>
      </c>
    </row>
    <row r="9378" spans="1:4" x14ac:dyDescent="0.25">
      <c r="A9378" t="str">
        <f>T("   841590")</f>
        <v xml:space="preserve">   841590</v>
      </c>
      <c r="B9378"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9378">
        <v>330923</v>
      </c>
      <c r="D9378">
        <v>235</v>
      </c>
    </row>
    <row r="9379" spans="1:4" x14ac:dyDescent="0.25">
      <c r="A9379" t="str">
        <f>T("   842123")</f>
        <v xml:space="preserve">   842123</v>
      </c>
      <c r="B9379"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9379">
        <v>60000</v>
      </c>
      <c r="D9379">
        <v>50</v>
      </c>
    </row>
    <row r="9380" spans="1:4" x14ac:dyDescent="0.25">
      <c r="A9380" t="str">
        <f>T("   843143")</f>
        <v xml:space="preserve">   843143</v>
      </c>
      <c r="B9380" t="str">
        <f>T("   Parties de machines de sondage ou de forage du n° 8430.41 ou 8430.49, n.d.a.")</f>
        <v xml:space="preserve">   Parties de machines de sondage ou de forage du n° 8430.41 ou 8430.49, n.d.a.</v>
      </c>
      <c r="C9380">
        <v>211638</v>
      </c>
      <c r="D9380">
        <v>37</v>
      </c>
    </row>
    <row r="9381" spans="1:4" x14ac:dyDescent="0.25">
      <c r="A9381" t="str">
        <f>T("   843149")</f>
        <v xml:space="preserve">   843149</v>
      </c>
      <c r="B9381" t="str">
        <f>T("   Parties de machines et appareils du n° 8426, 8429 ou 8430, n.d.a.")</f>
        <v xml:space="preserve">   Parties de machines et appareils du n° 8426, 8429 ou 8430, n.d.a.</v>
      </c>
      <c r="C9381">
        <v>157923</v>
      </c>
      <c r="D9381">
        <v>288</v>
      </c>
    </row>
    <row r="9382" spans="1:4" x14ac:dyDescent="0.25">
      <c r="A9382" t="str">
        <f>T("   843490")</f>
        <v xml:space="preserve">   843490</v>
      </c>
      <c r="B9382" t="str">
        <f>T("   Parties de machines à traire et autres machines et appareils de laiterie, n.d.a.")</f>
        <v xml:space="preserve">   Parties de machines à traire et autres machines et appareils de laiterie, n.d.a.</v>
      </c>
      <c r="C9382">
        <v>50000</v>
      </c>
      <c r="D9382">
        <v>11</v>
      </c>
    </row>
    <row r="9383" spans="1:4" x14ac:dyDescent="0.25">
      <c r="A9383" t="str">
        <f>T("   847141")</f>
        <v xml:space="preserve">   847141</v>
      </c>
      <c r="B9383" t="s">
        <v>458</v>
      </c>
      <c r="C9383">
        <v>495000</v>
      </c>
      <c r="D9383">
        <v>205</v>
      </c>
    </row>
    <row r="9384" spans="1:4" x14ac:dyDescent="0.25">
      <c r="A9384" t="str">
        <f>T("   847180")</f>
        <v xml:space="preserve">   847180</v>
      </c>
      <c r="B938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384">
        <v>1145500</v>
      </c>
      <c r="D9384">
        <v>250</v>
      </c>
    </row>
    <row r="9385" spans="1:4" x14ac:dyDescent="0.25">
      <c r="A9385" t="str">
        <f>T("   847190")</f>
        <v xml:space="preserve">   847190</v>
      </c>
      <c r="B938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385">
        <v>2908730</v>
      </c>
      <c r="D9385">
        <v>606</v>
      </c>
    </row>
    <row r="9386" spans="1:4" x14ac:dyDescent="0.25">
      <c r="A9386" t="str">
        <f>T("   847910")</f>
        <v xml:space="preserve">   847910</v>
      </c>
      <c r="B9386" t="str">
        <f>T("   Machines et appareils pour les travaux publics, le bâtiment ou les travaux analogues, n.d.a.")</f>
        <v xml:space="preserve">   Machines et appareils pour les travaux publics, le bâtiment ou les travaux analogues, n.d.a.</v>
      </c>
      <c r="C9386">
        <v>133215</v>
      </c>
      <c r="D9386">
        <v>100</v>
      </c>
    </row>
    <row r="9387" spans="1:4" x14ac:dyDescent="0.25">
      <c r="A9387" t="str">
        <f>T("   850212")</f>
        <v xml:space="preserve">   850212</v>
      </c>
      <c r="B938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9387">
        <v>17034901</v>
      </c>
      <c r="D9387">
        <v>1500</v>
      </c>
    </row>
    <row r="9388" spans="1:4" x14ac:dyDescent="0.25">
      <c r="A9388" t="str">
        <f>T("   851220")</f>
        <v xml:space="preserve">   851220</v>
      </c>
      <c r="B9388" t="str">
        <f>T("   Appareils électriques d'éclairage ou de signalisation visuelle, pour automobiles (à l'excl. des lampes du n° 8539)")</f>
        <v xml:space="preserve">   Appareils électriques d'éclairage ou de signalisation visuelle, pour automobiles (à l'excl. des lampes du n° 8539)</v>
      </c>
      <c r="C9388">
        <v>675000</v>
      </c>
      <c r="D9388">
        <v>142</v>
      </c>
    </row>
    <row r="9389" spans="1:4" x14ac:dyDescent="0.25">
      <c r="A9389" t="str">
        <f>T("   851440")</f>
        <v xml:space="preserve">   851440</v>
      </c>
      <c r="B9389" t="str">
        <f>T("   Appareils pour le traitement thermique des matières par induction ou par pertes diélectriques (autres que fours)")</f>
        <v xml:space="preserve">   Appareils pour le traitement thermique des matières par induction ou par pertes diélectriques (autres que fours)</v>
      </c>
      <c r="C9389">
        <v>499500</v>
      </c>
      <c r="D9389">
        <v>42</v>
      </c>
    </row>
    <row r="9390" spans="1:4" x14ac:dyDescent="0.25">
      <c r="A9390" t="str">
        <f>T("   851769")</f>
        <v xml:space="preserve">   851769</v>
      </c>
      <c r="B9390" t="s">
        <v>481</v>
      </c>
      <c r="C9390">
        <v>1145240</v>
      </c>
      <c r="D9390">
        <v>219</v>
      </c>
    </row>
    <row r="9391" spans="1:4" x14ac:dyDescent="0.25">
      <c r="A9391" t="str">
        <f>T("   851770")</f>
        <v xml:space="preserve">   851770</v>
      </c>
      <c r="B9391"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391">
        <v>150000</v>
      </c>
      <c r="D9391">
        <v>100</v>
      </c>
    </row>
    <row r="9392" spans="1:4" x14ac:dyDescent="0.25">
      <c r="A9392" t="str">
        <f>T("   851790")</f>
        <v xml:space="preserve">   851790</v>
      </c>
      <c r="B9392" t="s">
        <v>483</v>
      </c>
      <c r="C9392">
        <v>50150</v>
      </c>
      <c r="D9392">
        <v>2</v>
      </c>
    </row>
    <row r="9393" spans="1:4" x14ac:dyDescent="0.25">
      <c r="A9393" t="str">
        <f>T("   852190")</f>
        <v xml:space="preserve">   852190</v>
      </c>
      <c r="B9393" t="s">
        <v>487</v>
      </c>
      <c r="C9393">
        <v>300000</v>
      </c>
      <c r="D9393">
        <v>20</v>
      </c>
    </row>
    <row r="9394" spans="1:4" x14ac:dyDescent="0.25">
      <c r="A9394" t="str">
        <f>T("   852439")</f>
        <v xml:space="preserve">   852439</v>
      </c>
      <c r="B9394"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9394">
        <v>217556</v>
      </c>
      <c r="D9394">
        <v>1</v>
      </c>
    </row>
    <row r="9395" spans="1:4" x14ac:dyDescent="0.25">
      <c r="A9395" t="str">
        <f>T("   852550")</f>
        <v xml:space="preserve">   852550</v>
      </c>
      <c r="B9395" t="str">
        <f>T("   APPAREILS D'ÉMISSION POUR LA RADIODIFFUSION OU LA TÉLÉVISION, SANS APPAREIL DE RÉCEPTION")</f>
        <v xml:space="preserve">   APPAREILS D'ÉMISSION POUR LA RADIODIFFUSION OU LA TÉLÉVISION, SANS APPAREIL DE RÉCEPTION</v>
      </c>
      <c r="C9395">
        <v>2902596</v>
      </c>
      <c r="D9395">
        <v>980</v>
      </c>
    </row>
    <row r="9396" spans="1:4" x14ac:dyDescent="0.25">
      <c r="A9396" t="str">
        <f>T("   852719")</f>
        <v xml:space="preserve">   852719</v>
      </c>
      <c r="B9396"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396">
        <v>662230</v>
      </c>
      <c r="D9396">
        <v>6</v>
      </c>
    </row>
    <row r="9397" spans="1:4" x14ac:dyDescent="0.25">
      <c r="A9397" t="str">
        <f>T("   852859")</f>
        <v xml:space="preserve">   852859</v>
      </c>
      <c r="B9397"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9397">
        <v>1048426</v>
      </c>
      <c r="D9397">
        <v>375</v>
      </c>
    </row>
    <row r="9398" spans="1:4" x14ac:dyDescent="0.25">
      <c r="A9398" t="str">
        <f>T("   852910")</f>
        <v xml:space="preserve">   852910</v>
      </c>
      <c r="B9398"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398">
        <v>200000</v>
      </c>
      <c r="D9398">
        <v>114</v>
      </c>
    </row>
    <row r="9399" spans="1:4" x14ac:dyDescent="0.25">
      <c r="A9399" t="str">
        <f>T("   852990")</f>
        <v xml:space="preserve">   852990</v>
      </c>
      <c r="B9399" t="s">
        <v>496</v>
      </c>
      <c r="C9399">
        <v>185150</v>
      </c>
      <c r="D9399">
        <v>45</v>
      </c>
    </row>
    <row r="9400" spans="1:4" x14ac:dyDescent="0.25">
      <c r="A9400" t="str">
        <f>T("   853530")</f>
        <v xml:space="preserve">   853530</v>
      </c>
      <c r="B9400" t="str">
        <f>T("   Sectionneurs et interrupteurs, pour une tension &gt; 1.000 V")</f>
        <v xml:space="preserve">   Sectionneurs et interrupteurs, pour une tension &gt; 1.000 V</v>
      </c>
      <c r="C9400">
        <v>24895</v>
      </c>
      <c r="D9400">
        <v>50</v>
      </c>
    </row>
    <row r="9401" spans="1:4" x14ac:dyDescent="0.25">
      <c r="A9401" t="str">
        <f>T("   853649")</f>
        <v xml:space="preserve">   853649</v>
      </c>
      <c r="B9401" t="str">
        <f>T("   Relais, pour une tension &gt; 60 V mais &lt;= 1.000 V")</f>
        <v xml:space="preserve">   Relais, pour une tension &gt; 60 V mais &lt;= 1.000 V</v>
      </c>
      <c r="C9401">
        <v>250000</v>
      </c>
      <c r="D9401">
        <v>150</v>
      </c>
    </row>
    <row r="9402" spans="1:4" x14ac:dyDescent="0.25">
      <c r="A9402" t="str">
        <f>T("   854420")</f>
        <v xml:space="preserve">   854420</v>
      </c>
      <c r="B9402" t="str">
        <f>T("   Câbles coaxiaux et autres conducteurs électriques coaxiaux, isolés")</f>
        <v xml:space="preserve">   Câbles coaxiaux et autres conducteurs électriques coaxiaux, isolés</v>
      </c>
      <c r="C9402">
        <v>251534401</v>
      </c>
      <c r="D9402">
        <v>664270</v>
      </c>
    </row>
    <row r="9403" spans="1:4" x14ac:dyDescent="0.25">
      <c r="A9403" t="str">
        <f>T("   854449")</f>
        <v xml:space="preserve">   854449</v>
      </c>
      <c r="B9403" t="str">
        <f>T("   CONDUCTEURS ÉLECTRIQUES, POUR TENSION &lt;= 1.000 V, ISOLÉS, SANS PIÈCES DE CONNEXION, N.D.A.")</f>
        <v xml:space="preserve">   CONDUCTEURS ÉLECTRIQUES, POUR TENSION &lt;= 1.000 V, ISOLÉS, SANS PIÈCES DE CONNEXION, N.D.A.</v>
      </c>
      <c r="C9403">
        <v>60044362</v>
      </c>
      <c r="D9403">
        <v>16615</v>
      </c>
    </row>
    <row r="9404" spans="1:4" x14ac:dyDescent="0.25">
      <c r="A9404" t="str">
        <f>T("   870120")</f>
        <v xml:space="preserve">   870120</v>
      </c>
      <c r="B9404" t="str">
        <f>T("   Tracteurs routiers pour semi-remorques")</f>
        <v xml:space="preserve">   Tracteurs routiers pour semi-remorques</v>
      </c>
      <c r="C9404">
        <v>78710813</v>
      </c>
      <c r="D9404">
        <v>32000</v>
      </c>
    </row>
    <row r="9405" spans="1:4" x14ac:dyDescent="0.25">
      <c r="A9405" t="str">
        <f>T("   870210")</f>
        <v xml:space="preserve">   870210</v>
      </c>
      <c r="B9405" t="s">
        <v>503</v>
      </c>
      <c r="C9405">
        <v>24194899</v>
      </c>
      <c r="D9405">
        <v>8400</v>
      </c>
    </row>
    <row r="9406" spans="1:4" x14ac:dyDescent="0.25">
      <c r="A9406" t="str">
        <f>T("   870290")</f>
        <v xml:space="preserve">   870290</v>
      </c>
      <c r="B9406" t="s">
        <v>504</v>
      </c>
      <c r="C9406">
        <v>39432056</v>
      </c>
      <c r="D9406">
        <v>14150</v>
      </c>
    </row>
    <row r="9407" spans="1:4" x14ac:dyDescent="0.25">
      <c r="A9407" t="str">
        <f>T("   870322")</f>
        <v xml:space="preserve">   870322</v>
      </c>
      <c r="B9407" t="s">
        <v>506</v>
      </c>
      <c r="C9407">
        <v>72064581</v>
      </c>
      <c r="D9407">
        <v>27500</v>
      </c>
    </row>
    <row r="9408" spans="1:4" x14ac:dyDescent="0.25">
      <c r="A9408" t="str">
        <f>T("   870323")</f>
        <v xml:space="preserve">   870323</v>
      </c>
      <c r="B9408" t="s">
        <v>507</v>
      </c>
      <c r="C9408">
        <v>43527958</v>
      </c>
      <c r="D9408">
        <v>5950</v>
      </c>
    </row>
    <row r="9409" spans="1:4" x14ac:dyDescent="0.25">
      <c r="A9409" t="str">
        <f>T("   870331")</f>
        <v xml:space="preserve">   870331</v>
      </c>
      <c r="B9409" t="s">
        <v>509</v>
      </c>
      <c r="C9409">
        <v>4924519</v>
      </c>
      <c r="D9409">
        <v>950</v>
      </c>
    </row>
    <row r="9410" spans="1:4" x14ac:dyDescent="0.25">
      <c r="A9410" t="str">
        <f>T("   870333")</f>
        <v xml:space="preserve">   870333</v>
      </c>
      <c r="B9410" t="s">
        <v>511</v>
      </c>
      <c r="C9410">
        <v>17722834</v>
      </c>
      <c r="D9410">
        <v>7050</v>
      </c>
    </row>
    <row r="9411" spans="1:4" x14ac:dyDescent="0.25">
      <c r="A9411" t="str">
        <f>T("   870421")</f>
        <v xml:space="preserve">   870421</v>
      </c>
      <c r="B9411" t="s">
        <v>512</v>
      </c>
      <c r="C9411">
        <v>20509203</v>
      </c>
      <c r="D9411">
        <v>3275</v>
      </c>
    </row>
    <row r="9412" spans="1:4" x14ac:dyDescent="0.25">
      <c r="A9412" t="str">
        <f>T("   870810")</f>
        <v xml:space="preserve">   870810</v>
      </c>
      <c r="B9412"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9412">
        <v>110000</v>
      </c>
      <c r="D9412">
        <v>32</v>
      </c>
    </row>
    <row r="9413" spans="1:4" x14ac:dyDescent="0.25">
      <c r="A9413" t="str">
        <f>T("   871130")</f>
        <v xml:space="preserve">   871130</v>
      </c>
      <c r="B9413" t="str">
        <f>T("   Motocycles à moteur à piston alternatif, cylindrée &gt; 250 cm³ mais &lt;= 500 cm³")</f>
        <v xml:space="preserve">   Motocycles à moteur à piston alternatif, cylindrée &gt; 250 cm³ mais &lt;= 500 cm³</v>
      </c>
      <c r="C9413">
        <v>300000</v>
      </c>
      <c r="D9413">
        <v>220</v>
      </c>
    </row>
    <row r="9414" spans="1:4" x14ac:dyDescent="0.25">
      <c r="A9414" t="str">
        <f>T("   871631")</f>
        <v xml:space="preserve">   871631</v>
      </c>
      <c r="B9414" t="str">
        <f>T("   Remorques-citernes ne circulant pas sur rails")</f>
        <v xml:space="preserve">   Remorques-citernes ne circulant pas sur rails</v>
      </c>
      <c r="C9414">
        <v>43418143</v>
      </c>
      <c r="D9414">
        <v>20000</v>
      </c>
    </row>
    <row r="9415" spans="1:4" x14ac:dyDescent="0.25">
      <c r="A9415" t="str">
        <f>T("   900791")</f>
        <v xml:space="preserve">   900791</v>
      </c>
      <c r="B9415" t="str">
        <f>T("   PARTIES ET ACCESSOIRES DE CAMÉRAS CINEMATOGRAPHIQUES, N.D.A.")</f>
        <v xml:space="preserve">   PARTIES ET ACCESSOIRES DE CAMÉRAS CINEMATOGRAPHIQUES, N.D.A.</v>
      </c>
      <c r="C9415">
        <v>50000</v>
      </c>
      <c r="D9415">
        <v>1</v>
      </c>
    </row>
    <row r="9416" spans="1:4" x14ac:dyDescent="0.25">
      <c r="A9416" t="str">
        <f>T("   901580")</f>
        <v xml:space="preserve">   901580</v>
      </c>
      <c r="B9416" t="s">
        <v>526</v>
      </c>
      <c r="C9416">
        <v>2240559</v>
      </c>
      <c r="D9416">
        <v>35</v>
      </c>
    </row>
    <row r="9417" spans="1:4" x14ac:dyDescent="0.25">
      <c r="A9417" t="str">
        <f>T("   901890")</f>
        <v xml:space="preserve">   901890</v>
      </c>
      <c r="B9417" t="str">
        <f>T("   Instruments et appareils pour la médecine, la chirurgie ou l'art vétérinaire, n.d.a.")</f>
        <v xml:space="preserve">   Instruments et appareils pour la médecine, la chirurgie ou l'art vétérinaire, n.d.a.</v>
      </c>
      <c r="C9417">
        <v>10310672</v>
      </c>
      <c r="D9417">
        <v>1117</v>
      </c>
    </row>
    <row r="9418" spans="1:4" x14ac:dyDescent="0.25">
      <c r="A9418" t="str">
        <f>T("   902213")</f>
        <v xml:space="preserve">   902213</v>
      </c>
      <c r="B9418" t="str">
        <f>T("   Appareils à rayons X pour l'art dentaire")</f>
        <v xml:space="preserve">   Appareils à rayons X pour l'art dentaire</v>
      </c>
      <c r="C9418">
        <v>450000</v>
      </c>
      <c r="D9418">
        <v>98</v>
      </c>
    </row>
    <row r="9419" spans="1:4" x14ac:dyDescent="0.25">
      <c r="A9419" t="str">
        <f>T("   902580")</f>
        <v xml:space="preserve">   902580</v>
      </c>
      <c r="B9419" t="s">
        <v>531</v>
      </c>
      <c r="C9419">
        <v>37750</v>
      </c>
      <c r="D9419">
        <v>12</v>
      </c>
    </row>
    <row r="9420" spans="1:4" x14ac:dyDescent="0.25">
      <c r="A9420" t="str">
        <f>T("   910690")</f>
        <v xml:space="preserve">   910690</v>
      </c>
      <c r="B9420"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9420">
        <v>200000</v>
      </c>
      <c r="D9420">
        <v>30</v>
      </c>
    </row>
    <row r="9421" spans="1:4" x14ac:dyDescent="0.25">
      <c r="A9421" t="str">
        <f>T("   940350")</f>
        <v xml:space="preserve">   940350</v>
      </c>
      <c r="B9421" t="str">
        <f>T("   Meubles pour chambres à coucher, en bois (sauf sièges)")</f>
        <v xml:space="preserve">   Meubles pour chambres à coucher, en bois (sauf sièges)</v>
      </c>
      <c r="C9421">
        <v>2900000</v>
      </c>
      <c r="D9421">
        <v>2900</v>
      </c>
    </row>
    <row r="9422" spans="1:4" x14ac:dyDescent="0.25">
      <c r="A9422" t="str">
        <f>T("   940360")</f>
        <v xml:space="preserve">   940360</v>
      </c>
      <c r="B9422" t="str">
        <f>T("   Meubles en bois (autres que pour bureaux, cuisines ou chambres à coucher et autres que sièges)")</f>
        <v xml:space="preserve">   Meubles en bois (autres que pour bureaux, cuisines ou chambres à coucher et autres que sièges)</v>
      </c>
      <c r="C9422">
        <v>8575660</v>
      </c>
      <c r="D9422">
        <v>11800</v>
      </c>
    </row>
    <row r="9423" spans="1:4" x14ac:dyDescent="0.25">
      <c r="A9423" t="str">
        <f>T("   940389")</f>
        <v xml:space="preserve">   940389</v>
      </c>
      <c r="B9423"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9423">
        <v>1048426</v>
      </c>
      <c r="D9423">
        <v>375</v>
      </c>
    </row>
    <row r="9424" spans="1:4" x14ac:dyDescent="0.25">
      <c r="A9424" t="str">
        <f>T("   950410")</f>
        <v xml:space="preserve">   950410</v>
      </c>
      <c r="B9424" t="str">
        <f>T("   Jeux vidéo des types utilisables avec un récepteur de télévision")</f>
        <v xml:space="preserve">   Jeux vidéo des types utilisables avec un récepteur de télévision</v>
      </c>
      <c r="C9424">
        <v>25000</v>
      </c>
      <c r="D9424">
        <v>36</v>
      </c>
    </row>
    <row r="9425" spans="1:4" x14ac:dyDescent="0.25">
      <c r="A9425" t="str">
        <f>T("   960321")</f>
        <v xml:space="preserve">   960321</v>
      </c>
      <c r="B9425" t="str">
        <f>T("   Brosses à dent, y.c. brosses à prothèses dentaires")</f>
        <v xml:space="preserve">   Brosses à dent, y.c. brosses à prothèses dentaires</v>
      </c>
      <c r="C9425">
        <v>8880147</v>
      </c>
      <c r="D9425">
        <v>4078</v>
      </c>
    </row>
    <row r="9426" spans="1:4" x14ac:dyDescent="0.25">
      <c r="A9426" t="str">
        <f>T("   960810")</f>
        <v xml:space="preserve">   960810</v>
      </c>
      <c r="B9426" t="str">
        <f>T("   Stylos et crayons à bille")</f>
        <v xml:space="preserve">   Stylos et crayons à bille</v>
      </c>
      <c r="C9426">
        <v>62798</v>
      </c>
      <c r="D9426">
        <v>84</v>
      </c>
    </row>
    <row r="9427" spans="1:4" x14ac:dyDescent="0.25">
      <c r="A9427" t="str">
        <f>T("ST")</f>
        <v>ST</v>
      </c>
      <c r="B9427" t="str">
        <f>T("Sao Tomé-et-Principe")</f>
        <v>Sao Tomé-et-Principe</v>
      </c>
    </row>
    <row r="9428" spans="1:4" x14ac:dyDescent="0.25">
      <c r="A9428" t="str">
        <f>T("   ZZ_Total_Produit_SH6")</f>
        <v xml:space="preserve">   ZZ_Total_Produit_SH6</v>
      </c>
      <c r="B9428" t="str">
        <f>T("   ZZ_Total_Produit_SH6")</f>
        <v xml:space="preserve">   ZZ_Total_Produit_SH6</v>
      </c>
      <c r="C9428">
        <v>150497</v>
      </c>
      <c r="D9428">
        <v>39</v>
      </c>
    </row>
    <row r="9429" spans="1:4" x14ac:dyDescent="0.25">
      <c r="A9429" t="str">
        <f>T("   382200")</f>
        <v xml:space="preserve">   382200</v>
      </c>
      <c r="B9429" t="s">
        <v>133</v>
      </c>
      <c r="C9429">
        <v>150497</v>
      </c>
      <c r="D9429">
        <v>39</v>
      </c>
    </row>
    <row r="9430" spans="1:4" x14ac:dyDescent="0.25">
      <c r="A9430" t="str">
        <f>T("SV")</f>
        <v>SV</v>
      </c>
      <c r="B9430" t="str">
        <f>T("El Salvador")</f>
        <v>El Salvador</v>
      </c>
    </row>
    <row r="9431" spans="1:4" x14ac:dyDescent="0.25">
      <c r="A9431" t="str">
        <f>T("   ZZ_Total_Produit_SH6")</f>
        <v xml:space="preserve">   ZZ_Total_Produit_SH6</v>
      </c>
      <c r="B9431" t="str">
        <f>T("   ZZ_Total_Produit_SH6")</f>
        <v xml:space="preserve">   ZZ_Total_Produit_SH6</v>
      </c>
      <c r="C9431">
        <v>7062473</v>
      </c>
      <c r="D9431">
        <v>410</v>
      </c>
    </row>
    <row r="9432" spans="1:4" x14ac:dyDescent="0.25">
      <c r="A9432" t="str">
        <f>T("   843149")</f>
        <v xml:space="preserve">   843149</v>
      </c>
      <c r="B9432" t="str">
        <f>T("   Parties de machines et appareils du n° 8426, 8429 ou 8430, n.d.a.")</f>
        <v xml:space="preserve">   Parties de machines et appareils du n° 8426, 8429 ou 8430, n.d.a.</v>
      </c>
      <c r="C9432">
        <v>7062473</v>
      </c>
      <c r="D9432">
        <v>410</v>
      </c>
    </row>
    <row r="9433" spans="1:4" x14ac:dyDescent="0.25">
      <c r="A9433" t="str">
        <f>T("SY")</f>
        <v>SY</v>
      </c>
      <c r="B9433" t="str">
        <f>T("Syrienne, République arabe")</f>
        <v>Syrienne, République arabe</v>
      </c>
    </row>
    <row r="9434" spans="1:4" x14ac:dyDescent="0.25">
      <c r="A9434" t="str">
        <f>T("   ZZ_Total_Produit_SH6")</f>
        <v xml:space="preserve">   ZZ_Total_Produit_SH6</v>
      </c>
      <c r="B9434" t="str">
        <f>T("   ZZ_Total_Produit_SH6")</f>
        <v xml:space="preserve">   ZZ_Total_Produit_SH6</v>
      </c>
      <c r="C9434">
        <v>104076729</v>
      </c>
      <c r="D9434">
        <v>80665.600000000006</v>
      </c>
    </row>
    <row r="9435" spans="1:4" x14ac:dyDescent="0.25">
      <c r="A9435" t="str">
        <f>T("   321519")</f>
        <v xml:space="preserve">   321519</v>
      </c>
      <c r="B9435" t="str">
        <f>T("   Encres d'imprimerie, même concentrées ou sous formes solides (à l'excl. des encres noires)")</f>
        <v xml:space="preserve">   Encres d'imprimerie, même concentrées ou sous formes solides (à l'excl. des encres noires)</v>
      </c>
      <c r="C9435">
        <v>1840361</v>
      </c>
      <c r="D9435">
        <v>14.4</v>
      </c>
    </row>
    <row r="9436" spans="1:4" x14ac:dyDescent="0.25">
      <c r="A9436" t="str">
        <f>T("   400922")</f>
        <v xml:space="preserve">   400922</v>
      </c>
      <c r="B9436"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9436">
        <v>1138145</v>
      </c>
      <c r="D9436">
        <v>56</v>
      </c>
    </row>
    <row r="9437" spans="1:4" x14ac:dyDescent="0.25">
      <c r="A9437" t="str">
        <f>T("   730799")</f>
        <v xml:space="preserve">   730799</v>
      </c>
      <c r="B9437"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9437">
        <v>4183837</v>
      </c>
      <c r="D9437">
        <v>46.5</v>
      </c>
    </row>
    <row r="9438" spans="1:4" x14ac:dyDescent="0.25">
      <c r="A9438" t="str">
        <f>T("   731815")</f>
        <v xml:space="preserve">   731815</v>
      </c>
      <c r="B9438" t="s">
        <v>380</v>
      </c>
      <c r="C9438">
        <v>3502101</v>
      </c>
      <c r="D9438">
        <v>238.6</v>
      </c>
    </row>
    <row r="9439" spans="1:4" x14ac:dyDescent="0.25">
      <c r="A9439" t="str">
        <f>T("   841320")</f>
        <v xml:space="preserve">   841320</v>
      </c>
      <c r="B9439"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9439">
        <v>136180</v>
      </c>
      <c r="D9439">
        <v>1</v>
      </c>
    </row>
    <row r="9440" spans="1:4" x14ac:dyDescent="0.25">
      <c r="A9440" t="str">
        <f>T("   841330")</f>
        <v xml:space="preserve">   841330</v>
      </c>
      <c r="B9440"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9440">
        <v>670847</v>
      </c>
      <c r="D9440">
        <v>10</v>
      </c>
    </row>
    <row r="9441" spans="1:4" x14ac:dyDescent="0.25">
      <c r="A9441" t="str">
        <f>T("   843039")</f>
        <v xml:space="preserve">   843039</v>
      </c>
      <c r="B9441"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9441">
        <v>45825616</v>
      </c>
      <c r="D9441">
        <v>79070</v>
      </c>
    </row>
    <row r="9442" spans="1:4" x14ac:dyDescent="0.25">
      <c r="A9442" t="str">
        <f>T("   843149")</f>
        <v xml:space="preserve">   843149</v>
      </c>
      <c r="B9442" t="str">
        <f>T("   Parties de machines et appareils du n° 8426, 8429 ou 8430, n.d.a.")</f>
        <v xml:space="preserve">   Parties de machines et appareils du n° 8426, 8429 ou 8430, n.d.a.</v>
      </c>
      <c r="C9442">
        <v>46591339</v>
      </c>
      <c r="D9442">
        <v>1228.4000000000001</v>
      </c>
    </row>
    <row r="9443" spans="1:4" x14ac:dyDescent="0.25">
      <c r="A9443" t="str">
        <f>T("   852321")</f>
        <v xml:space="preserve">   852321</v>
      </c>
      <c r="B9443" t="str">
        <f>T("   CARTES MUNIES D'UNE PISTE MAGNÉTIQUE POUR L'ENREGISTREMENT DU SON OU POUR ENREGISTREMENTS ANALOGUES")</f>
        <v xml:space="preserve">   CARTES MUNIES D'UNE PISTE MAGNÉTIQUE POUR L'ENREGISTREMENT DU SON OU POUR ENREGISTREMENTS ANALOGUES</v>
      </c>
      <c r="C9443">
        <v>98574</v>
      </c>
      <c r="D9443">
        <v>0.5</v>
      </c>
    </row>
    <row r="9444" spans="1:4" x14ac:dyDescent="0.25">
      <c r="A9444" t="str">
        <f>T("   853530")</f>
        <v xml:space="preserve">   853530</v>
      </c>
      <c r="B9444" t="str">
        <f>T("   Sectionneurs et interrupteurs, pour une tension &gt; 1.000 V")</f>
        <v xml:space="preserve">   Sectionneurs et interrupteurs, pour une tension &gt; 1.000 V</v>
      </c>
      <c r="C9444">
        <v>89729</v>
      </c>
      <c r="D9444">
        <v>0.2</v>
      </c>
    </row>
    <row r="9445" spans="1:4" x14ac:dyDescent="0.25">
      <c r="A9445" t="str">
        <f>T("SZ")</f>
        <v>SZ</v>
      </c>
      <c r="B9445" t="str">
        <f>T("Swaziland")</f>
        <v>Swaziland</v>
      </c>
    </row>
    <row r="9446" spans="1:4" x14ac:dyDescent="0.25">
      <c r="A9446" t="str">
        <f>T("   ZZ_Total_Produit_SH6")</f>
        <v xml:space="preserve">   ZZ_Total_Produit_SH6</v>
      </c>
      <c r="B9446" t="str">
        <f>T("   ZZ_Total_Produit_SH6")</f>
        <v xml:space="preserve">   ZZ_Total_Produit_SH6</v>
      </c>
      <c r="C9446">
        <v>78698114</v>
      </c>
      <c r="D9446">
        <v>42791.8</v>
      </c>
    </row>
    <row r="9447" spans="1:4" x14ac:dyDescent="0.25">
      <c r="A9447" t="str">
        <f>T("   020890")</f>
        <v xml:space="preserve">   020890</v>
      </c>
      <c r="B9447" t="s">
        <v>13</v>
      </c>
      <c r="C9447">
        <v>15550000</v>
      </c>
      <c r="D9447">
        <v>25000</v>
      </c>
    </row>
    <row r="9448" spans="1:4" x14ac:dyDescent="0.25">
      <c r="A9448" t="str">
        <f>T("   300490")</f>
        <v xml:space="preserve">   300490</v>
      </c>
      <c r="B9448" t="s">
        <v>84</v>
      </c>
      <c r="C9448">
        <v>384722</v>
      </c>
      <c r="D9448">
        <v>5</v>
      </c>
    </row>
    <row r="9449" spans="1:4" x14ac:dyDescent="0.25">
      <c r="A9449" t="str">
        <f>T("   491199")</f>
        <v xml:space="preserve">   491199</v>
      </c>
      <c r="B9449" t="str">
        <f>T("   Imprimés, n.d.a.")</f>
        <v xml:space="preserve">   Imprimés, n.d.a.</v>
      </c>
      <c r="C9449">
        <v>81926</v>
      </c>
      <c r="D9449">
        <v>10</v>
      </c>
    </row>
    <row r="9450" spans="1:4" x14ac:dyDescent="0.25">
      <c r="A9450" t="str">
        <f>T("   630900")</f>
        <v xml:space="preserve">   630900</v>
      </c>
      <c r="B9450" t="s">
        <v>300</v>
      </c>
      <c r="C9450">
        <v>9900000</v>
      </c>
      <c r="D9450">
        <v>16000</v>
      </c>
    </row>
    <row r="9451" spans="1:4" x14ac:dyDescent="0.25">
      <c r="A9451" t="str">
        <f>T("   731815")</f>
        <v xml:space="preserve">   731815</v>
      </c>
      <c r="B9451" t="s">
        <v>380</v>
      </c>
      <c r="C9451">
        <v>62766</v>
      </c>
      <c r="D9451">
        <v>19</v>
      </c>
    </row>
    <row r="9452" spans="1:4" x14ac:dyDescent="0.25">
      <c r="A9452" t="str">
        <f>T("   731824")</f>
        <v xml:space="preserve">   731824</v>
      </c>
      <c r="B9452" t="str">
        <f>T("   Goupilles, chevilles et clavettes en fonte, fer ou acier")</f>
        <v xml:space="preserve">   Goupilles, chevilles et clavettes en fonte, fer ou acier</v>
      </c>
      <c r="C9452">
        <v>743592</v>
      </c>
      <c r="D9452">
        <v>15</v>
      </c>
    </row>
    <row r="9453" spans="1:4" x14ac:dyDescent="0.25">
      <c r="A9453" t="str">
        <f>T("   840999")</f>
        <v xml:space="preserve">   840999</v>
      </c>
      <c r="B9453"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453">
        <v>2168338</v>
      </c>
      <c r="D9453">
        <v>52</v>
      </c>
    </row>
    <row r="9454" spans="1:4" x14ac:dyDescent="0.25">
      <c r="A9454" t="str">
        <f>T("   841290")</f>
        <v xml:space="preserve">   841290</v>
      </c>
      <c r="B9454" t="str">
        <f>T("   PARTIES DE MOTEURS ET MACHINES MOTRICES NON-ÉLECTRIQUES, N.D.A.")</f>
        <v xml:space="preserve">   PARTIES DE MOTEURS ET MACHINES MOTRICES NON-ÉLECTRIQUES, N.D.A.</v>
      </c>
      <c r="C9454">
        <v>988357</v>
      </c>
      <c r="D9454">
        <v>320</v>
      </c>
    </row>
    <row r="9455" spans="1:4" x14ac:dyDescent="0.25">
      <c r="A9455" t="str">
        <f>T("   841360")</f>
        <v xml:space="preserve">   841360</v>
      </c>
      <c r="B9455" t="s">
        <v>418</v>
      </c>
      <c r="C9455">
        <v>1745706</v>
      </c>
      <c r="D9455">
        <v>10.199999999999999</v>
      </c>
    </row>
    <row r="9456" spans="1:4" x14ac:dyDescent="0.25">
      <c r="A9456" t="str">
        <f>T("   842199")</f>
        <v xml:space="preserve">   842199</v>
      </c>
      <c r="B9456" t="str">
        <f>T("   Parties d'appareils pour la filtration ou l'épuration des liquides ou des gaz, n.d.a.")</f>
        <v xml:space="preserve">   Parties d'appareils pour la filtration ou l'épuration des liquides ou des gaz, n.d.a.</v>
      </c>
      <c r="C9456">
        <v>555597</v>
      </c>
      <c r="D9456">
        <v>15</v>
      </c>
    </row>
    <row r="9457" spans="1:4" x14ac:dyDescent="0.25">
      <c r="A9457" t="str">
        <f>T("   843120")</f>
        <v xml:space="preserve">   843120</v>
      </c>
      <c r="B9457" t="str">
        <f>T("   Parties de chariots-gerbeurs et autres chariots de manutention munis d'un dispositif de levage, n.d.a.")</f>
        <v xml:space="preserve">   Parties de chariots-gerbeurs et autres chariots de manutention munis d'un dispositif de levage, n.d.a.</v>
      </c>
      <c r="C9457">
        <v>538408</v>
      </c>
      <c r="D9457">
        <v>146</v>
      </c>
    </row>
    <row r="9458" spans="1:4" x14ac:dyDescent="0.25">
      <c r="A9458" t="str">
        <f>T("   843141")</f>
        <v xml:space="preserve">   843141</v>
      </c>
      <c r="B9458" t="str">
        <f>T("   Godets, bennes, bennes-preneuses, pelles, grappins et pinces pour machines et appareils du n° 8426, 8429 ou 8430")</f>
        <v xml:space="preserve">   Godets, bennes, bennes-preneuses, pelles, grappins et pinces pour machines et appareils du n° 8426, 8429 ou 8430</v>
      </c>
      <c r="C9458">
        <v>1170016</v>
      </c>
      <c r="D9458">
        <v>2</v>
      </c>
    </row>
    <row r="9459" spans="1:4" x14ac:dyDescent="0.25">
      <c r="A9459" t="str">
        <f>T("   843149")</f>
        <v xml:space="preserve">   843149</v>
      </c>
      <c r="B9459" t="str">
        <f>T("   Parties de machines et appareils du n° 8426, 8429 ou 8430, n.d.a.")</f>
        <v xml:space="preserve">   Parties de machines et appareils du n° 8426, 8429 ou 8430, n.d.a.</v>
      </c>
      <c r="C9459">
        <v>27219426</v>
      </c>
      <c r="D9459">
        <v>664.4</v>
      </c>
    </row>
    <row r="9460" spans="1:4" x14ac:dyDescent="0.25">
      <c r="A9460" t="str">
        <f>T("   847190")</f>
        <v xml:space="preserve">   847190</v>
      </c>
      <c r="B946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460">
        <v>4931157</v>
      </c>
      <c r="D9460">
        <v>61</v>
      </c>
    </row>
    <row r="9461" spans="1:4" x14ac:dyDescent="0.25">
      <c r="A9461" t="str">
        <f>T("   848180")</f>
        <v xml:space="preserve">   848180</v>
      </c>
      <c r="B946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461">
        <v>30137</v>
      </c>
      <c r="D9461">
        <v>0.7</v>
      </c>
    </row>
    <row r="9462" spans="1:4" x14ac:dyDescent="0.25">
      <c r="A9462" t="str">
        <f>T("   848310")</f>
        <v xml:space="preserve">   848310</v>
      </c>
      <c r="B9462" t="str">
        <f>T("   Arbres de transmission pour machines, y.c. -les arbres à cames et les vilebrequins- et manivelles")</f>
        <v xml:space="preserve">   Arbres de transmission pour machines, y.c. -les arbres à cames et les vilebrequins- et manivelles</v>
      </c>
      <c r="C9462">
        <v>4583779</v>
      </c>
      <c r="D9462">
        <v>254</v>
      </c>
    </row>
    <row r="9463" spans="1:4" x14ac:dyDescent="0.25">
      <c r="A9463" t="str">
        <f>T("   848410")</f>
        <v xml:space="preserve">   848410</v>
      </c>
      <c r="B9463" t="str">
        <f>T("   Joints métalloplastiques")</f>
        <v xml:space="preserve">   Joints métalloplastiques</v>
      </c>
      <c r="C9463">
        <v>314305</v>
      </c>
      <c r="D9463">
        <v>3</v>
      </c>
    </row>
    <row r="9464" spans="1:4" x14ac:dyDescent="0.25">
      <c r="A9464" t="str">
        <f>T("   848490")</f>
        <v xml:space="preserve">   848490</v>
      </c>
      <c r="B9464" t="str">
        <f>T("   Jeux ou assortiments de joints de composition différente présentés en pochettes, enveloppes ou emballages analogues")</f>
        <v xml:space="preserve">   Jeux ou assortiments de joints de composition différente présentés en pochettes, enveloppes ou emballages analogues</v>
      </c>
      <c r="C9464">
        <v>571997</v>
      </c>
      <c r="D9464">
        <v>9.8000000000000007</v>
      </c>
    </row>
    <row r="9465" spans="1:4" x14ac:dyDescent="0.25">
      <c r="A9465" t="str">
        <f>T("   851770")</f>
        <v xml:space="preserve">   851770</v>
      </c>
      <c r="B9465"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9465">
        <v>1560538</v>
      </c>
      <c r="D9465">
        <v>111.7</v>
      </c>
    </row>
    <row r="9466" spans="1:4" x14ac:dyDescent="0.25">
      <c r="A9466" t="str">
        <f>T("   853710")</f>
        <v xml:space="preserve">   853710</v>
      </c>
      <c r="B9466"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9466">
        <v>5597347</v>
      </c>
      <c r="D9466">
        <v>93</v>
      </c>
    </row>
    <row r="9467" spans="1:4" x14ac:dyDescent="0.25">
      <c r="A9467" t="str">
        <f>T("TC")</f>
        <v>TC</v>
      </c>
      <c r="B9467" t="str">
        <f>T("Turks et Caïques, îles")</f>
        <v>Turks et Caïques, îles</v>
      </c>
    </row>
    <row r="9468" spans="1:4" x14ac:dyDescent="0.25">
      <c r="A9468" t="str">
        <f>T("   ZZ_Total_Produit_SH6")</f>
        <v xml:space="preserve">   ZZ_Total_Produit_SH6</v>
      </c>
      <c r="B9468" t="str">
        <f>T("   ZZ_Total_Produit_SH6")</f>
        <v xml:space="preserve">   ZZ_Total_Produit_SH6</v>
      </c>
      <c r="C9468">
        <v>18008763</v>
      </c>
      <c r="D9468">
        <v>735</v>
      </c>
    </row>
    <row r="9469" spans="1:4" x14ac:dyDescent="0.25">
      <c r="A9469" t="str">
        <f>T("   731815")</f>
        <v xml:space="preserve">   731815</v>
      </c>
      <c r="B9469" t="s">
        <v>380</v>
      </c>
      <c r="C9469">
        <v>1391947</v>
      </c>
      <c r="D9469">
        <v>18</v>
      </c>
    </row>
    <row r="9470" spans="1:4" x14ac:dyDescent="0.25">
      <c r="A9470" t="str">
        <f>T("   732690")</f>
        <v xml:space="preserve">   732690</v>
      </c>
      <c r="B947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470">
        <v>2837027</v>
      </c>
      <c r="D9470">
        <v>38</v>
      </c>
    </row>
    <row r="9471" spans="1:4" x14ac:dyDescent="0.25">
      <c r="A9471" t="str">
        <f>T("   846694")</f>
        <v xml:space="preserve">   846694</v>
      </c>
      <c r="B9471" t="str">
        <f>T("   Parties et accessoires pour machines-outils pour le travail du métal avec enlèvement de matière, n.d.a.")</f>
        <v xml:space="preserve">   Parties et accessoires pour machines-outils pour le travail du métal avec enlèvement de matière, n.d.a.</v>
      </c>
      <c r="C9471">
        <v>5801966</v>
      </c>
      <c r="D9471">
        <v>77</v>
      </c>
    </row>
    <row r="9472" spans="1:4" x14ac:dyDescent="0.25">
      <c r="A9472" t="str">
        <f>T("   848291")</f>
        <v xml:space="preserve">   848291</v>
      </c>
      <c r="B9472" t="str">
        <f>T("   Billes, galets, rouleaux et aiguilles pour roulements (sauf billes en acier du n° 7326)")</f>
        <v xml:space="preserve">   Billes, galets, rouleaux et aiguilles pour roulements (sauf billes en acier du n° 7326)</v>
      </c>
      <c r="C9472">
        <v>1672042</v>
      </c>
      <c r="D9472">
        <v>22</v>
      </c>
    </row>
    <row r="9473" spans="1:4" x14ac:dyDescent="0.25">
      <c r="A9473" t="str">
        <f>T("   950490")</f>
        <v xml:space="preserve">   950490</v>
      </c>
      <c r="B9473" t="s">
        <v>539</v>
      </c>
      <c r="C9473">
        <v>6305781</v>
      </c>
      <c r="D9473">
        <v>580</v>
      </c>
    </row>
    <row r="9474" spans="1:4" x14ac:dyDescent="0.25">
      <c r="A9474" t="str">
        <f>T("TD")</f>
        <v>TD</v>
      </c>
      <c r="B9474" t="str">
        <f>T("Tchad")</f>
        <v>Tchad</v>
      </c>
    </row>
    <row r="9475" spans="1:4" x14ac:dyDescent="0.25">
      <c r="A9475" t="str">
        <f>T("   ZZ_Total_Produit_SH6")</f>
        <v xml:space="preserve">   ZZ_Total_Produit_SH6</v>
      </c>
      <c r="B9475" t="str">
        <f>T("   ZZ_Total_Produit_SH6")</f>
        <v xml:space="preserve">   ZZ_Total_Produit_SH6</v>
      </c>
      <c r="C9475">
        <v>150000</v>
      </c>
      <c r="D9475">
        <v>480</v>
      </c>
    </row>
    <row r="9476" spans="1:4" x14ac:dyDescent="0.25">
      <c r="A9476" t="str">
        <f>T("   621139")</f>
        <v xml:space="preserve">   621139</v>
      </c>
      <c r="B9476"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9476">
        <v>150000</v>
      </c>
      <c r="D9476">
        <v>480</v>
      </c>
    </row>
    <row r="9477" spans="1:4" x14ac:dyDescent="0.25">
      <c r="A9477" t="str">
        <f>T("TG")</f>
        <v>TG</v>
      </c>
      <c r="B9477" t="str">
        <f>T("Togo")</f>
        <v>Togo</v>
      </c>
    </row>
    <row r="9478" spans="1:4" x14ac:dyDescent="0.25">
      <c r="A9478" t="str">
        <f>T("   ZZ_Total_Produit_SH6")</f>
        <v xml:space="preserve">   ZZ_Total_Produit_SH6</v>
      </c>
      <c r="B9478" t="str">
        <f>T("   ZZ_Total_Produit_SH6")</f>
        <v xml:space="preserve">   ZZ_Total_Produit_SH6</v>
      </c>
      <c r="C9478">
        <v>136687106375.731</v>
      </c>
      <c r="D9478">
        <v>448003375.88999999</v>
      </c>
    </row>
    <row r="9479" spans="1:4" x14ac:dyDescent="0.25">
      <c r="A9479" t="str">
        <f>T("   020120")</f>
        <v xml:space="preserve">   020120</v>
      </c>
      <c r="B9479" t="str">
        <f>T("   MORCEAUX NON-DÉSOSSÉS, DE BOVINS, FRAIS OU RÉFRIGÉRÉS (À L'EXCL. DES CARCASSES ET DES DEMI-CARCASSES)")</f>
        <v xml:space="preserve">   MORCEAUX NON-DÉSOSSÉS, DE BOVINS, FRAIS OU RÉFRIGÉRÉS (À L'EXCL. DES CARCASSES ET DES DEMI-CARCASSES)</v>
      </c>
      <c r="C9479">
        <v>305844</v>
      </c>
      <c r="D9479">
        <v>3860</v>
      </c>
    </row>
    <row r="9480" spans="1:4" x14ac:dyDescent="0.25">
      <c r="A9480" t="str">
        <f>T("   020712")</f>
        <v xml:space="preserve">   020712</v>
      </c>
      <c r="B9480" t="str">
        <f>T("   COQS ET POULES [DES ESPÈCES DOMESTIQUES], NON-DÉCOUPÉS EN MORCEAUX, CONGELÉS")</f>
        <v xml:space="preserve">   COQS ET POULES [DES ESPÈCES DOMESTIQUES], NON-DÉCOUPÉS EN MORCEAUX, CONGELÉS</v>
      </c>
      <c r="C9480">
        <v>1368989</v>
      </c>
      <c r="D9480">
        <v>2200</v>
      </c>
    </row>
    <row r="9481" spans="1:4" x14ac:dyDescent="0.25">
      <c r="A9481" t="str">
        <f>T("   020714")</f>
        <v xml:space="preserve">   020714</v>
      </c>
      <c r="B9481" t="str">
        <f>T("   Morceaux et abats comestibles de coqs et de poules [des espèces domestiques], congelés")</f>
        <v xml:space="preserve">   Morceaux et abats comestibles de coqs et de poules [des espèces domestiques], congelés</v>
      </c>
      <c r="C9481">
        <v>1866206</v>
      </c>
      <c r="D9481">
        <v>3000</v>
      </c>
    </row>
    <row r="9482" spans="1:4" x14ac:dyDescent="0.25">
      <c r="A9482" t="str">
        <f>T("   020733")</f>
        <v xml:space="preserve">   020733</v>
      </c>
      <c r="B9482" t="str">
        <f>T("   CANARDS, OIES OU PINTADES [DES ESPÈCES DOMESTIQUES], NON-DÉCOUPÉS EN MORCEAUX, CONGELÉS")</f>
        <v xml:space="preserve">   CANARDS, OIES OU PINTADES [DES ESPÈCES DOMESTIQUES], NON-DÉCOUPÉS EN MORCEAUX, CONGELÉS</v>
      </c>
      <c r="C9482">
        <v>655380</v>
      </c>
      <c r="D9482">
        <v>1900</v>
      </c>
    </row>
    <row r="9483" spans="1:4" x14ac:dyDescent="0.25">
      <c r="A9483" t="str">
        <f>T("   021019")</f>
        <v xml:space="preserve">   021019</v>
      </c>
      <c r="B9483"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9483">
        <v>87384</v>
      </c>
      <c r="D9483">
        <v>450</v>
      </c>
    </row>
    <row r="9484" spans="1:4" x14ac:dyDescent="0.25">
      <c r="A9484" t="str">
        <f>T("   030211")</f>
        <v xml:space="preserve">   030211</v>
      </c>
      <c r="B9484" t="str">
        <f>T("   Truites [Salmo trutta, Oncorhynchus mykiss, Oncorhynchus clarki, Oncorhynchus aguabonita, Oncorhynchus gilae, Oncorhynchus apache et Oncorhynchus chrysogaster], fraîches ou réfrigérées")</f>
        <v xml:space="preserve">   Truites [Salmo trutta, Oncorhynchus mykiss, Oncorhynchus clarki, Oncorhynchus aguabonita, Oncorhynchus gilae, Oncorhynchus apache et Oncorhynchus chrysogaster], fraîches ou réfrigérées</v>
      </c>
      <c r="C9484">
        <v>206642</v>
      </c>
      <c r="D9484">
        <v>2400</v>
      </c>
    </row>
    <row r="9485" spans="1:4" x14ac:dyDescent="0.25">
      <c r="A9485" t="str">
        <f>T("   030219")</f>
        <v xml:space="preserve">   030219</v>
      </c>
      <c r="B9485" t="str">
        <f>T("   Salmonidés, frais ou réfrigérés (à l'excl. des truites et des saumons du Pacifique, de l'Atlantique et du Danube)")</f>
        <v xml:space="preserve">   Salmonidés, frais ou réfrigérés (à l'excl. des truites et des saumons du Pacifique, de l'Atlantique et du Danube)</v>
      </c>
      <c r="C9485">
        <v>177122</v>
      </c>
      <c r="D9485">
        <v>2400</v>
      </c>
    </row>
    <row r="9486" spans="1:4" x14ac:dyDescent="0.25">
      <c r="A9486" t="str">
        <f>T("   030229")</f>
        <v xml:space="preserve">   030229</v>
      </c>
      <c r="B9486"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9486">
        <v>206640</v>
      </c>
      <c r="D9486">
        <v>2280</v>
      </c>
    </row>
    <row r="9487" spans="1:4" x14ac:dyDescent="0.25">
      <c r="A9487" t="str">
        <f>T("   030319")</f>
        <v xml:space="preserve">   030319</v>
      </c>
      <c r="B9487"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9487">
        <v>206642</v>
      </c>
      <c r="D9487">
        <v>2400</v>
      </c>
    </row>
    <row r="9488" spans="1:4" x14ac:dyDescent="0.25">
      <c r="A9488" t="str">
        <f>T("   030379")</f>
        <v xml:space="preserve">   030379</v>
      </c>
      <c r="B9488" t="s">
        <v>16</v>
      </c>
      <c r="C9488">
        <v>767526</v>
      </c>
      <c r="D9488">
        <v>6310</v>
      </c>
    </row>
    <row r="9489" spans="1:4" x14ac:dyDescent="0.25">
      <c r="A9489" t="str">
        <f>T("   030510")</f>
        <v xml:space="preserve">   030510</v>
      </c>
      <c r="B9489" t="str">
        <f>T("   FARINES, POUDRES ET AGGLOMÉRÉS SOUS FORME DE PELLETS DE POISSON, PROPRES À L'ALIMENTATION HUMAINE [01/01/1988-31/12/1991: FARINE DE POISSON PROPRE A L'ALIMENTATION HUMAINE]")</f>
        <v xml:space="preserve">   FARINES, POUDRES ET AGGLOMÉRÉS SOUS FORME DE PELLETS DE POISSON, PROPRES À L'ALIMENTATION HUMAINE [01/01/1988-31/12/1991: FARINE DE POISSON PROPRE A L'ALIMENTATION HUMAINE]</v>
      </c>
      <c r="C9489">
        <v>26568</v>
      </c>
      <c r="D9489">
        <v>500</v>
      </c>
    </row>
    <row r="9490" spans="1:4" x14ac:dyDescent="0.25">
      <c r="A9490" t="str">
        <f>T("   030559")</f>
        <v xml:space="preserve">   030559</v>
      </c>
      <c r="B9490" t="str">
        <f>T("   POISSONS SÉCHÉS, MÊME SALÉS, MAIS NON-FUMÉS (À L'EXCL. DES MORUES ET DE TOUS LES FILETS DE POISSONS)")</f>
        <v xml:space="preserve">   POISSONS SÉCHÉS, MÊME SALÉS, MAIS NON-FUMÉS (À L'EXCL. DES MORUES ET DE TOUS LES FILETS DE POISSONS)</v>
      </c>
      <c r="C9490">
        <v>675764</v>
      </c>
      <c r="D9490">
        <v>3970</v>
      </c>
    </row>
    <row r="9491" spans="1:4" x14ac:dyDescent="0.25">
      <c r="A9491" t="str">
        <f>T("   030623")</f>
        <v xml:space="preserve">   030623</v>
      </c>
      <c r="B9491"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9491">
        <v>1856909</v>
      </c>
      <c r="D9491">
        <v>1610</v>
      </c>
    </row>
    <row r="9492" spans="1:4" x14ac:dyDescent="0.25">
      <c r="A9492" t="str">
        <f>T("   030729")</f>
        <v xml:space="preserve">   030729</v>
      </c>
      <c r="B9492" t="str">
        <f>T("   COQUILLES SAINT-JACQUES OU PEIGNÉS, PÉTONCLES OU VANNEAUX, ET AUTRES COQUILLAGES DES GENRES 'PECTEN', 'CHLAMYS' OU 'PLACOPECTEN', MÊME SÉPARÉS DE LEUR COQUILLE, CONGELÉS, SÉCHÉS, SALÉS OU EN SAUMURE")</f>
        <v xml:space="preserve">   COQUILLES SAINT-JACQUES OU PEIGNÉS, PÉTONCLES OU VANNEAUX, ET AUTRES COQUILLAGES DES GENRES 'PECTEN', 'CHLAMYS' OU 'PLACOPECTEN', MÊME SÉPARÉS DE LEUR COQUILLE, CONGELÉS, SÉCHÉS, SALÉS OU EN SAUMURE</v>
      </c>
      <c r="C9492">
        <v>69909</v>
      </c>
      <c r="D9492">
        <v>6190</v>
      </c>
    </row>
    <row r="9493" spans="1:4" x14ac:dyDescent="0.25">
      <c r="A9493" t="str">
        <f>T("   040210")</f>
        <v xml:space="preserve">   040210</v>
      </c>
      <c r="B9493"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9493">
        <v>10990495</v>
      </c>
      <c r="D9493">
        <v>7626</v>
      </c>
    </row>
    <row r="9494" spans="1:4" x14ac:dyDescent="0.25">
      <c r="A9494" t="str">
        <f>T("   040221")</f>
        <v xml:space="preserve">   040221</v>
      </c>
      <c r="B9494"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494">
        <v>184000672</v>
      </c>
      <c r="D9494">
        <v>87150</v>
      </c>
    </row>
    <row r="9495" spans="1:4" x14ac:dyDescent="0.25">
      <c r="A9495" t="str">
        <f>T("   040299")</f>
        <v xml:space="preserve">   040299</v>
      </c>
      <c r="B9495"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9495">
        <v>26166325</v>
      </c>
      <c r="D9495">
        <v>37474</v>
      </c>
    </row>
    <row r="9496" spans="1:4" x14ac:dyDescent="0.25">
      <c r="A9496" t="str">
        <f>T("   040310")</f>
        <v xml:space="preserve">   040310</v>
      </c>
      <c r="B9496" t="str">
        <f>T("   Yoghourts, même additionnés de sucre ou d'autres édulcorants ou aromatisés ou additionnés de fruits ou de cacao")</f>
        <v xml:space="preserve">   Yoghourts, même additionnés de sucre ou d'autres édulcorants ou aromatisés ou additionnés de fruits ou de cacao</v>
      </c>
      <c r="C9496">
        <v>458118468</v>
      </c>
      <c r="D9496">
        <v>893286</v>
      </c>
    </row>
    <row r="9497" spans="1:4" x14ac:dyDescent="0.25">
      <c r="A9497" t="str">
        <f>T("   040490")</f>
        <v xml:space="preserve">   040490</v>
      </c>
      <c r="B9497" t="str">
        <f>T("   Produits consistant en composants naturels du lait, même additionnés de sucre ou d'autres édulcorants, n.d.a.")</f>
        <v xml:space="preserve">   Produits consistant en composants naturels du lait, même additionnés de sucre ou d'autres édulcorants, n.d.a.</v>
      </c>
      <c r="C9497">
        <v>173598432</v>
      </c>
      <c r="D9497">
        <v>411432</v>
      </c>
    </row>
    <row r="9498" spans="1:4" x14ac:dyDescent="0.25">
      <c r="A9498" t="str">
        <f>T("   040510")</f>
        <v xml:space="preserve">   040510</v>
      </c>
      <c r="B9498" t="str">
        <f>T("   Beurre (sauf beurre déshydraté et ghee)")</f>
        <v xml:space="preserve">   Beurre (sauf beurre déshydraté et ghee)</v>
      </c>
      <c r="C9498">
        <v>2402256</v>
      </c>
      <c r="D9498">
        <v>15220</v>
      </c>
    </row>
    <row r="9499" spans="1:4" x14ac:dyDescent="0.25">
      <c r="A9499" t="str">
        <f>T("   040630")</f>
        <v xml:space="preserve">   040630</v>
      </c>
      <c r="B9499" t="str">
        <f>T("   Fromages fondus (à l'excl. des fromages râpés ou en poudre)")</f>
        <v xml:space="preserve">   Fromages fondus (à l'excl. des fromages râpés ou en poudre)</v>
      </c>
      <c r="C9499">
        <v>262153</v>
      </c>
      <c r="D9499">
        <v>395</v>
      </c>
    </row>
    <row r="9500" spans="1:4" x14ac:dyDescent="0.25">
      <c r="A9500" t="str">
        <f>T("   040640")</f>
        <v xml:space="preserve">   040640</v>
      </c>
      <c r="B9500" t="str">
        <f>T("   FROMAGES À PÂTE PERSILLÉE ET AUTRES FROMAGES PRÉSENTANT DES MARBRURES OBTENUES EN UTILISANT DU 'PENICILLIUM ROQUEFORTI'")</f>
        <v xml:space="preserve">   FROMAGES À PÂTE PERSILLÉE ET AUTRES FROMAGES PRÉSENTANT DES MARBRURES OBTENUES EN UTILISANT DU 'PENICILLIUM ROQUEFORTI'</v>
      </c>
      <c r="C9500">
        <v>10923</v>
      </c>
      <c r="D9500">
        <v>180</v>
      </c>
    </row>
    <row r="9501" spans="1:4" x14ac:dyDescent="0.25">
      <c r="A9501" t="str">
        <f>T("   040700")</f>
        <v xml:space="preserve">   040700</v>
      </c>
      <c r="B9501" t="str">
        <f>T("   Oeufs d'oiseaux, en coquilles, frais, conservés ou cuits")</f>
        <v xml:space="preserve">   Oeufs d'oiseaux, en coquilles, frais, conservés ou cuits</v>
      </c>
      <c r="C9501">
        <v>70000</v>
      </c>
      <c r="D9501">
        <v>80</v>
      </c>
    </row>
    <row r="9502" spans="1:4" x14ac:dyDescent="0.25">
      <c r="A9502" t="str">
        <f>T("   051191")</f>
        <v xml:space="preserve">   051191</v>
      </c>
      <c r="B9502" t="str">
        <f>T("   Produits de poissons ou de crustacés, mollusques ou autres invertébrés aquatiques; poissons, crustacés, mollusques ou autres invertébrés aquatiques, morts, impropres à l'alimentation humaine")</f>
        <v xml:space="preserve">   Produits de poissons ou de crustacés, mollusques ou autres invertébrés aquatiques; poissons, crustacés, mollusques ou autres invertébrés aquatiques, morts, impropres à l'alimentation humaine</v>
      </c>
      <c r="C9502">
        <v>43900000</v>
      </c>
      <c r="D9502">
        <v>164595</v>
      </c>
    </row>
    <row r="9503" spans="1:4" x14ac:dyDescent="0.25">
      <c r="A9503" t="str">
        <f>T("   070190")</f>
        <v xml:space="preserve">   070190</v>
      </c>
      <c r="B9503" t="str">
        <f>T("   Pommes de terre, à l'état frais ou réfrigéré (à l'excl. des pommes de terre de semence)")</f>
        <v xml:space="preserve">   Pommes de terre, à l'état frais ou réfrigéré (à l'excl. des pommes de terre de semence)</v>
      </c>
      <c r="C9503">
        <v>2000000</v>
      </c>
      <c r="D9503">
        <v>27500</v>
      </c>
    </row>
    <row r="9504" spans="1:4" x14ac:dyDescent="0.25">
      <c r="A9504" t="str">
        <f>T("   070310")</f>
        <v xml:space="preserve">   070310</v>
      </c>
      <c r="B9504" t="str">
        <f>T("   Oignons et échalotes, à l'état frais ou réfrigéré")</f>
        <v xml:space="preserve">   Oignons et échalotes, à l'état frais ou réfrigéré</v>
      </c>
      <c r="C9504">
        <v>956858</v>
      </c>
      <c r="D9504">
        <v>7890</v>
      </c>
    </row>
    <row r="9505" spans="1:4" x14ac:dyDescent="0.25">
      <c r="A9505" t="str">
        <f>T("   070320")</f>
        <v xml:space="preserve">   070320</v>
      </c>
      <c r="B9505" t="str">
        <f>T("   Aulx, à l'état frais ou réfrigéré")</f>
        <v xml:space="preserve">   Aulx, à l'état frais ou réfrigéré</v>
      </c>
      <c r="C9505">
        <v>622626</v>
      </c>
      <c r="D9505">
        <v>4435</v>
      </c>
    </row>
    <row r="9506" spans="1:4" x14ac:dyDescent="0.25">
      <c r="A9506" t="str">
        <f>T("   070960")</f>
        <v xml:space="preserve">   070960</v>
      </c>
      <c r="B9506" t="str">
        <f>T("   Piments du genre 'Capsicum' ou du genre 'Pimenta', à l'état frais ou réfrigéré")</f>
        <v xml:space="preserve">   Piments du genre 'Capsicum' ou du genre 'Pimenta', à l'état frais ou réfrigéré</v>
      </c>
      <c r="C9506">
        <v>404150</v>
      </c>
      <c r="D9506">
        <v>4089</v>
      </c>
    </row>
    <row r="9507" spans="1:4" x14ac:dyDescent="0.25">
      <c r="A9507" t="str">
        <f>T("   071010")</f>
        <v xml:space="preserve">   071010</v>
      </c>
      <c r="B9507" t="str">
        <f>T("   Pommes de terre, non cuites ou cuites à l'eau ou à la vapeur, congelées")</f>
        <v xml:space="preserve">   Pommes de terre, non cuites ou cuites à l'eau ou à la vapeur, congelées</v>
      </c>
      <c r="C9507">
        <v>4979723</v>
      </c>
      <c r="D9507">
        <v>77680</v>
      </c>
    </row>
    <row r="9508" spans="1:4" x14ac:dyDescent="0.25">
      <c r="A9508" t="str">
        <f>T("   071110")</f>
        <v xml:space="preserve">   071110</v>
      </c>
      <c r="B9508" t="str">
        <f>T("   OIGNONS, CONSERVES PROVISOIREMENT [AU MOYEN DE GAZ SULFUREUX OU DANS DE L'EAU SALEE, SOUFREE OU ADDITIONNEE D'AUTRES SUBSTANCES SERVANT A ASSURER PROVISOIREMENT LEUR CONSERVATION, PAR EXEMPLE], MAIS IMPROPRES A L'ALIMENTATION EN L'ÉTAT")</f>
        <v xml:space="preserve">   OIGNONS, CONSERVES PROVISOIREMENT [AU MOYEN DE GAZ SULFUREUX OU DANS DE L'EAU SALEE, SOUFREE OU ADDITIONNEE D'AUTRES SUBSTANCES SERVANT A ASSURER PROVISOIREMENT LEUR CONSERVATION, PAR EXEMPLE], MAIS IMPROPRES A L'ALIMENTATION EN L'ÉTAT</v>
      </c>
      <c r="C9508">
        <v>32769</v>
      </c>
      <c r="D9508">
        <v>625</v>
      </c>
    </row>
    <row r="9509" spans="1:4" x14ac:dyDescent="0.25">
      <c r="A9509" t="str">
        <f>T("   071290")</f>
        <v xml:space="preserve">   071290</v>
      </c>
      <c r="B9509"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9509">
        <v>152922</v>
      </c>
      <c r="D9509">
        <v>640</v>
      </c>
    </row>
    <row r="9510" spans="1:4" x14ac:dyDescent="0.25">
      <c r="A9510" t="str">
        <f>T("   080111")</f>
        <v xml:space="preserve">   080111</v>
      </c>
      <c r="B9510" t="str">
        <f>T("   Noix de coco, desséchées")</f>
        <v xml:space="preserve">   Noix de coco, desséchées</v>
      </c>
      <c r="C9510">
        <v>176428279</v>
      </c>
      <c r="D9510">
        <v>41136790</v>
      </c>
    </row>
    <row r="9511" spans="1:4" x14ac:dyDescent="0.25">
      <c r="A9511" t="str">
        <f>T("   080300")</f>
        <v xml:space="preserve">   080300</v>
      </c>
      <c r="B9511" t="str">
        <f>T("   Bananes, y.c. les plantains, fraîches ou sèches")</f>
        <v xml:space="preserve">   Bananes, y.c. les plantains, fraîches ou sèches</v>
      </c>
      <c r="C9511">
        <v>29091800</v>
      </c>
      <c r="D9511">
        <v>421296</v>
      </c>
    </row>
    <row r="9512" spans="1:4" x14ac:dyDescent="0.25">
      <c r="A9512" t="str">
        <f>T("   080510")</f>
        <v xml:space="preserve">   080510</v>
      </c>
      <c r="B9512" t="str">
        <f>T("   Oranges, fraîches ou sèches")</f>
        <v xml:space="preserve">   Oranges, fraîches ou sèches</v>
      </c>
      <c r="C9512">
        <v>784883</v>
      </c>
      <c r="D9512">
        <v>10834</v>
      </c>
    </row>
    <row r="9513" spans="1:4" x14ac:dyDescent="0.25">
      <c r="A9513" t="str">
        <f>T("   080520")</f>
        <v xml:space="preserve">   080520</v>
      </c>
      <c r="B9513" t="str">
        <f>T("   Mandarines, y.c. les tangerines et les satsumas; clémentines, wilkings et hybrides simil. d'agrumes, frais ou secs")</f>
        <v xml:space="preserve">   Mandarines, y.c. les tangerines et les satsumas; clémentines, wilkings et hybrides simil. d'agrumes, frais ou secs</v>
      </c>
      <c r="C9513">
        <v>1038000</v>
      </c>
      <c r="D9513">
        <v>5881</v>
      </c>
    </row>
    <row r="9514" spans="1:4" x14ac:dyDescent="0.25">
      <c r="A9514" t="str">
        <f>T("   080550")</f>
        <v xml:space="preserve">   080550</v>
      </c>
      <c r="B9514" t="s">
        <v>23</v>
      </c>
      <c r="C9514">
        <v>609000</v>
      </c>
      <c r="D9514">
        <v>4521</v>
      </c>
    </row>
    <row r="9515" spans="1:4" x14ac:dyDescent="0.25">
      <c r="A9515" t="str">
        <f>T("   080610")</f>
        <v xml:space="preserve">   080610</v>
      </c>
      <c r="B9515" t="str">
        <f>T("   Raisins, frais")</f>
        <v xml:space="preserve">   Raisins, frais</v>
      </c>
      <c r="C9515">
        <v>8579993</v>
      </c>
      <c r="D9515">
        <v>71985</v>
      </c>
    </row>
    <row r="9516" spans="1:4" x14ac:dyDescent="0.25">
      <c r="A9516" t="str">
        <f>T("   080620")</f>
        <v xml:space="preserve">   080620</v>
      </c>
      <c r="B9516" t="str">
        <f>T("   Raisins, secs")</f>
        <v xml:space="preserve">   Raisins, secs</v>
      </c>
      <c r="C9516">
        <v>345759</v>
      </c>
      <c r="D9516">
        <v>1750</v>
      </c>
    </row>
    <row r="9517" spans="1:4" x14ac:dyDescent="0.25">
      <c r="A9517" t="str">
        <f>T("   080719")</f>
        <v xml:space="preserve">   080719</v>
      </c>
      <c r="B9517" t="str">
        <f>T("   Melons, frais (à l'excl. des pastèques)")</f>
        <v xml:space="preserve">   Melons, frais (à l'excl. des pastèques)</v>
      </c>
      <c r="C9517">
        <v>108049</v>
      </c>
      <c r="D9517">
        <v>750</v>
      </c>
    </row>
    <row r="9518" spans="1:4" x14ac:dyDescent="0.25">
      <c r="A9518" t="str">
        <f>T("   080810")</f>
        <v xml:space="preserve">   080810</v>
      </c>
      <c r="B9518" t="str">
        <f>T("   Pommes, fraîches")</f>
        <v xml:space="preserve">   Pommes, fraîches</v>
      </c>
      <c r="C9518">
        <v>351414167</v>
      </c>
      <c r="D9518">
        <v>2680423</v>
      </c>
    </row>
    <row r="9519" spans="1:4" x14ac:dyDescent="0.25">
      <c r="A9519" t="str">
        <f>T("   080820")</f>
        <v xml:space="preserve">   080820</v>
      </c>
      <c r="B9519" t="str">
        <f>T("   Poires et coings, frais")</f>
        <v xml:space="preserve">   Poires et coings, frais</v>
      </c>
      <c r="C9519">
        <v>8392399</v>
      </c>
      <c r="D9519">
        <v>64716</v>
      </c>
    </row>
    <row r="9520" spans="1:4" x14ac:dyDescent="0.25">
      <c r="A9520" t="str">
        <f>T("   080930")</f>
        <v xml:space="preserve">   080930</v>
      </c>
      <c r="B9520" t="str">
        <f>T("   Pêches, y.c. les brugnons et nectarines, fraîches")</f>
        <v xml:space="preserve">   Pêches, y.c. les brugnons et nectarines, fraîches</v>
      </c>
      <c r="C9520">
        <v>242000</v>
      </c>
      <c r="D9520">
        <v>1526</v>
      </c>
    </row>
    <row r="9521" spans="1:4" x14ac:dyDescent="0.25">
      <c r="A9521" t="str">
        <f>T("   080940")</f>
        <v xml:space="preserve">   080940</v>
      </c>
      <c r="B9521" t="str">
        <f>T("   Prunes et prunelles, fraîches")</f>
        <v xml:space="preserve">   Prunes et prunelles, fraîches</v>
      </c>
      <c r="C9521">
        <v>620000</v>
      </c>
      <c r="D9521">
        <v>4600</v>
      </c>
    </row>
    <row r="9522" spans="1:4" x14ac:dyDescent="0.25">
      <c r="A9522" t="str">
        <f>T("   081320")</f>
        <v xml:space="preserve">   081320</v>
      </c>
      <c r="B9522" t="str">
        <f>T("   Pruneaux, séchés")</f>
        <v xml:space="preserve">   Pruneaux, séchés</v>
      </c>
      <c r="C9522">
        <v>216100</v>
      </c>
      <c r="D9522">
        <v>2030</v>
      </c>
    </row>
    <row r="9523" spans="1:4" x14ac:dyDescent="0.25">
      <c r="A9523" t="str">
        <f>T("   081330")</f>
        <v xml:space="preserve">   081330</v>
      </c>
      <c r="B9523" t="str">
        <f>T("   Pommes, séchées")</f>
        <v xml:space="preserve">   Pommes, séchées</v>
      </c>
      <c r="C9523">
        <v>1080492</v>
      </c>
      <c r="D9523">
        <v>19550</v>
      </c>
    </row>
    <row r="9524" spans="1:4" x14ac:dyDescent="0.25">
      <c r="A9524" t="str">
        <f>T("   081340")</f>
        <v xml:space="preserve">   081340</v>
      </c>
      <c r="B9524"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9524">
        <v>76030</v>
      </c>
      <c r="D9524">
        <v>475</v>
      </c>
    </row>
    <row r="9525" spans="1:4" x14ac:dyDescent="0.25">
      <c r="A9525" t="str">
        <f>T("   090111")</f>
        <v xml:space="preserve">   090111</v>
      </c>
      <c r="B9525" t="str">
        <f>T("   Café, non torréfié, non décaféiné")</f>
        <v xml:space="preserve">   Café, non torréfié, non décaféiné</v>
      </c>
      <c r="C9525">
        <v>15453178</v>
      </c>
      <c r="D9525">
        <v>43700</v>
      </c>
    </row>
    <row r="9526" spans="1:4" x14ac:dyDescent="0.25">
      <c r="A9526" t="str">
        <f>T("   090121")</f>
        <v xml:space="preserve">   090121</v>
      </c>
      <c r="B9526" t="str">
        <f>T("   Café, torréfié, non décaféiné")</f>
        <v xml:space="preserve">   Café, torréfié, non décaféiné</v>
      </c>
      <c r="C9526">
        <v>13048580</v>
      </c>
      <c r="D9526">
        <v>22220</v>
      </c>
    </row>
    <row r="9527" spans="1:4" x14ac:dyDescent="0.25">
      <c r="A9527" t="str">
        <f>T("   090190")</f>
        <v xml:space="preserve">   090190</v>
      </c>
      <c r="B9527" t="str">
        <f>T("   Coques et pellicules de café; succédanés du café contenant du café, quelles que soient les proportions du mélange")</f>
        <v xml:space="preserve">   Coques et pellicules de café; succédanés du café contenant du café, quelles que soient les proportions du mélange</v>
      </c>
      <c r="C9527">
        <v>60075634</v>
      </c>
      <c r="D9527">
        <v>197029</v>
      </c>
    </row>
    <row r="9528" spans="1:4" x14ac:dyDescent="0.25">
      <c r="A9528" t="str">
        <f>T("   090210")</f>
        <v xml:space="preserve">   090210</v>
      </c>
      <c r="B9528" t="str">
        <f>T("   Thé vert [thé non fermenté], présenté en emballages immédiats d'un contenu &lt;= 3 kg")</f>
        <v xml:space="preserve">   Thé vert [thé non fermenté], présenté en emballages immédiats d'un contenu &lt;= 3 kg</v>
      </c>
      <c r="C9528">
        <v>4029600</v>
      </c>
      <c r="D9528">
        <v>7170</v>
      </c>
    </row>
    <row r="9529" spans="1:4" x14ac:dyDescent="0.25">
      <c r="A9529" t="str">
        <f>T("   090240")</f>
        <v xml:space="preserve">   090240</v>
      </c>
      <c r="B9529" t="s">
        <v>28</v>
      </c>
      <c r="C9529">
        <v>5549771</v>
      </c>
      <c r="D9529">
        <v>25170</v>
      </c>
    </row>
    <row r="9530" spans="1:4" x14ac:dyDescent="0.25">
      <c r="A9530" t="str">
        <f>T("   090300")</f>
        <v xml:space="preserve">   090300</v>
      </c>
      <c r="B9530" t="str">
        <f>T("   Maté")</f>
        <v xml:space="preserve">   Maté</v>
      </c>
      <c r="C9530">
        <v>3900000</v>
      </c>
      <c r="D9530">
        <v>20888</v>
      </c>
    </row>
    <row r="9531" spans="1:4" x14ac:dyDescent="0.25">
      <c r="A9531" t="str">
        <f>T("   090420")</f>
        <v xml:space="preserve">   090420</v>
      </c>
      <c r="B9531" t="str">
        <f>T("   Piments du genre 'Capsicum' ou du genre 'Pimenta', séchés ou broyés ou pulvérisés")</f>
        <v xml:space="preserve">   Piments du genre 'Capsicum' ou du genre 'Pimenta', séchés ou broyés ou pulvérisés</v>
      </c>
      <c r="C9531">
        <v>172886</v>
      </c>
      <c r="D9531">
        <v>1990</v>
      </c>
    </row>
    <row r="9532" spans="1:4" x14ac:dyDescent="0.25">
      <c r="A9532" t="str">
        <f>T("   090500")</f>
        <v xml:space="preserve">   090500</v>
      </c>
      <c r="B9532" t="str">
        <f>T("   Vanille")</f>
        <v xml:space="preserve">   Vanille</v>
      </c>
      <c r="C9532">
        <v>400000</v>
      </c>
      <c r="D9532">
        <v>1550</v>
      </c>
    </row>
    <row r="9533" spans="1:4" x14ac:dyDescent="0.25">
      <c r="A9533" t="str">
        <f>T("   091099")</f>
        <v xml:space="preserve">   091099</v>
      </c>
      <c r="B9533" t="s">
        <v>29</v>
      </c>
      <c r="C9533">
        <v>759015</v>
      </c>
      <c r="D9533">
        <v>3479</v>
      </c>
    </row>
    <row r="9534" spans="1:4" x14ac:dyDescent="0.25">
      <c r="A9534" t="str">
        <f>T("   100110")</f>
        <v xml:space="preserve">   100110</v>
      </c>
      <c r="B9534" t="str">
        <f>T("   Froment [blé] dur")</f>
        <v xml:space="preserve">   Froment [blé] dur</v>
      </c>
      <c r="C9534">
        <v>43504557</v>
      </c>
      <c r="D9534">
        <v>208307</v>
      </c>
    </row>
    <row r="9535" spans="1:4" x14ac:dyDescent="0.25">
      <c r="A9535" t="str">
        <f>T("   100190")</f>
        <v xml:space="preserve">   100190</v>
      </c>
      <c r="B9535" t="str">
        <f>T("   Froment [blé] et méteil (à l'excl. du froment [blé] dur)")</f>
        <v xml:space="preserve">   Froment [blé] et méteil (à l'excl. du froment [blé] dur)</v>
      </c>
      <c r="C9535">
        <v>57096773</v>
      </c>
      <c r="D9535">
        <v>270950</v>
      </c>
    </row>
    <row r="9536" spans="1:4" x14ac:dyDescent="0.25">
      <c r="A9536" t="str">
        <f>T("   100590")</f>
        <v xml:space="preserve">   100590</v>
      </c>
      <c r="B9536" t="str">
        <f>T("   Maïs (autre que de semence)")</f>
        <v xml:space="preserve">   Maïs (autre que de semence)</v>
      </c>
      <c r="C9536">
        <v>4664767</v>
      </c>
      <c r="D9536">
        <v>3310</v>
      </c>
    </row>
    <row r="9537" spans="1:4" x14ac:dyDescent="0.25">
      <c r="A9537" t="str">
        <f>T("   100610")</f>
        <v xml:space="preserve">   100610</v>
      </c>
      <c r="B9537" t="str">
        <f>T("   Riz en paille [riz paddy]")</f>
        <v xml:space="preserve">   Riz en paille [riz paddy]</v>
      </c>
      <c r="C9537">
        <v>429722</v>
      </c>
      <c r="D9537">
        <v>4785</v>
      </c>
    </row>
    <row r="9538" spans="1:4" x14ac:dyDescent="0.25">
      <c r="A9538" t="str">
        <f>T("   100630")</f>
        <v xml:space="preserve">   100630</v>
      </c>
      <c r="B9538" t="str">
        <f>T("   Riz semi-blanchi ou blanchi, même poli ou glacé")</f>
        <v xml:space="preserve">   Riz semi-blanchi ou blanchi, même poli ou glacé</v>
      </c>
      <c r="C9538">
        <v>23616</v>
      </c>
      <c r="D9538">
        <v>50</v>
      </c>
    </row>
    <row r="9539" spans="1:4" x14ac:dyDescent="0.25">
      <c r="A9539" t="str">
        <f>T("   100700")</f>
        <v xml:space="preserve">   100700</v>
      </c>
      <c r="B9539" t="str">
        <f>T("   Sorgho à grains")</f>
        <v xml:space="preserve">   Sorgho à grains</v>
      </c>
      <c r="C9539">
        <v>314860</v>
      </c>
      <c r="D9539">
        <v>3200</v>
      </c>
    </row>
    <row r="9540" spans="1:4" x14ac:dyDescent="0.25">
      <c r="A9540" t="str">
        <f>T("   110100")</f>
        <v xml:space="preserve">   110100</v>
      </c>
      <c r="B9540" t="str">
        <f>T("   Farines de froment [blé] ou de méteil")</f>
        <v xml:space="preserve">   Farines de froment [blé] ou de méteil</v>
      </c>
      <c r="C9540">
        <v>502155630.85000002</v>
      </c>
      <c r="D9540">
        <v>1538047.16</v>
      </c>
    </row>
    <row r="9541" spans="1:4" x14ac:dyDescent="0.25">
      <c r="A9541" t="str">
        <f>T("   110290")</f>
        <v xml:space="preserve">   110290</v>
      </c>
      <c r="B9541" t="str">
        <f>T("   FARINES DE CÉRÉALES (À L'EXCL. DES FARINES DE FROMENT [BLÉ], DE MÉTEIL, DE SEIGLE ET DE MAÏS)")</f>
        <v xml:space="preserve">   FARINES DE CÉRÉALES (À L'EXCL. DES FARINES DE FROMENT [BLÉ], DE MÉTEIL, DE SEIGLE ET DE MAÏS)</v>
      </c>
      <c r="C9541">
        <v>731000</v>
      </c>
      <c r="D9541">
        <v>13500</v>
      </c>
    </row>
    <row r="9542" spans="1:4" x14ac:dyDescent="0.25">
      <c r="A9542" t="str">
        <f>T("   110311")</f>
        <v xml:space="preserve">   110311</v>
      </c>
      <c r="B9542" t="str">
        <f>T("   Gruaux et semoules de froment [blé]")</f>
        <v xml:space="preserve">   Gruaux et semoules de froment [blé]</v>
      </c>
      <c r="C9542">
        <v>519248</v>
      </c>
      <c r="D9542">
        <v>2590</v>
      </c>
    </row>
    <row r="9543" spans="1:4" x14ac:dyDescent="0.25">
      <c r="A9543" t="str">
        <f>T("   110610")</f>
        <v xml:space="preserve">   110610</v>
      </c>
      <c r="B9543" t="str">
        <f>T("   Farines, semoules et poudres de légumes à cosse secs du n° 0713")</f>
        <v xml:space="preserve">   Farines, semoules et poudres de légumes à cosse secs du n° 0713</v>
      </c>
      <c r="C9543">
        <v>196614</v>
      </c>
      <c r="D9543">
        <v>1320</v>
      </c>
    </row>
    <row r="9544" spans="1:4" x14ac:dyDescent="0.25">
      <c r="A9544" t="str">
        <f>T("   110620")</f>
        <v xml:space="preserve">   110620</v>
      </c>
      <c r="B9544" t="str">
        <f>T("   Farines, semoules et poudres de sagou ou des racines ou tubercules du n° 0714")</f>
        <v xml:space="preserve">   Farines, semoules et poudres de sagou ou des racines ou tubercules du n° 0714</v>
      </c>
      <c r="C9544">
        <v>415075</v>
      </c>
      <c r="D9544">
        <v>19810</v>
      </c>
    </row>
    <row r="9545" spans="1:4" x14ac:dyDescent="0.25">
      <c r="A9545" t="str">
        <f>T("   120100")</f>
        <v xml:space="preserve">   120100</v>
      </c>
      <c r="B9545" t="str">
        <f>T("   Fèves de soja, même concassées")</f>
        <v xml:space="preserve">   Fèves de soja, même concassées</v>
      </c>
      <c r="C9545">
        <v>107430</v>
      </c>
      <c r="D9545">
        <v>1000</v>
      </c>
    </row>
    <row r="9546" spans="1:4" x14ac:dyDescent="0.25">
      <c r="A9546" t="str">
        <f>T("   120210")</f>
        <v xml:space="preserve">   120210</v>
      </c>
      <c r="B9546" t="str">
        <f>T("   ARACHIDES, EN COQUES, NON-GRILLÉES NI AUTREMENT CUITES")</f>
        <v xml:space="preserve">   ARACHIDES, EN COQUES, NON-GRILLÉES NI AUTREMENT CUITES</v>
      </c>
      <c r="C9546">
        <v>286482</v>
      </c>
      <c r="D9546">
        <v>28600</v>
      </c>
    </row>
    <row r="9547" spans="1:4" x14ac:dyDescent="0.25">
      <c r="A9547" t="str">
        <f>T("   120220")</f>
        <v xml:space="preserve">   120220</v>
      </c>
      <c r="B9547" t="str">
        <f>T("   Arachides, décortiquées, même concassées, non grillées ni autrement cuites")</f>
        <v xml:space="preserve">   Arachides, décortiquées, même concassées, non grillées ni autrement cuites</v>
      </c>
      <c r="C9547">
        <v>572964</v>
      </c>
      <c r="D9547">
        <v>54740</v>
      </c>
    </row>
    <row r="9548" spans="1:4" x14ac:dyDescent="0.25">
      <c r="A9548" t="str">
        <f>T("   120590")</f>
        <v xml:space="preserve">   120590</v>
      </c>
      <c r="B9548" t="str">
        <f>T("   GRAINES DE NAVETTE OU DE COLZA D'UNE TENEUR ÉLEVÉE EN ACIDE ÉRUCIQUE 'FOURNISSANT UNE HUILE FIXE DONT LA TENEUR EN ACIDE ÉRUCIQUE EST &gt;= 2% ET UN COMPOSANT SOLIDE QUI CONTIENT &gt;= 30 MICROMOLES/G DE GLUCOSINOLATES', MÊME CONCASSÉES")</f>
        <v xml:space="preserve">   GRAINES DE NAVETTE OU DE COLZA D'UNE TENEUR ÉLEVÉE EN ACIDE ÉRUCIQUE 'FOURNISSANT UNE HUILE FIXE DONT LA TENEUR EN ACIDE ÉRUCIQUE EST &gt;= 2% ET UN COMPOSANT SOLIDE QUI CONTIENT &gt;= 30 MICROMOLES/G DE GLUCOSINOLATES', MÊME CONCASSÉES</v>
      </c>
      <c r="C9548">
        <v>5443158</v>
      </c>
      <c r="D9548">
        <v>546330</v>
      </c>
    </row>
    <row r="9549" spans="1:4" x14ac:dyDescent="0.25">
      <c r="A9549" t="str">
        <f>T("   120710")</f>
        <v xml:space="preserve">   120710</v>
      </c>
      <c r="B9549" t="str">
        <f>T("   NOIX ET AMANDES DE PALMISTES")</f>
        <v xml:space="preserve">   NOIX ET AMANDES DE PALMISTES</v>
      </c>
      <c r="C9549">
        <v>11602520</v>
      </c>
      <c r="D9549">
        <v>1158040</v>
      </c>
    </row>
    <row r="9550" spans="1:4" x14ac:dyDescent="0.25">
      <c r="A9550" t="str">
        <f>T("   120720")</f>
        <v xml:space="preserve">   120720</v>
      </c>
      <c r="B9550" t="str">
        <f>T("   Graines de coton, même concassées")</f>
        <v xml:space="preserve">   Graines de coton, même concassées</v>
      </c>
      <c r="C9550">
        <v>86374323</v>
      </c>
      <c r="D9550">
        <v>8991740</v>
      </c>
    </row>
    <row r="9551" spans="1:4" x14ac:dyDescent="0.25">
      <c r="A9551" t="str">
        <f>T("   120799")</f>
        <v xml:space="preserve">   120799</v>
      </c>
      <c r="B9551" t="s">
        <v>30</v>
      </c>
      <c r="C9551">
        <v>2534913</v>
      </c>
      <c r="D9551">
        <v>186160</v>
      </c>
    </row>
    <row r="9552" spans="1:4" x14ac:dyDescent="0.25">
      <c r="A9552" t="str">
        <f>T("   120810")</f>
        <v xml:space="preserve">   120810</v>
      </c>
      <c r="B9552" t="str">
        <f>T("   Farine de fèves de soja")</f>
        <v xml:space="preserve">   Farine de fèves de soja</v>
      </c>
      <c r="C9552">
        <v>26568</v>
      </c>
      <c r="D9552">
        <v>260</v>
      </c>
    </row>
    <row r="9553" spans="1:4" x14ac:dyDescent="0.25">
      <c r="A9553" t="str">
        <f>T("   121190")</f>
        <v xml:space="preserve">   121190</v>
      </c>
      <c r="B9553" t="s">
        <v>33</v>
      </c>
      <c r="C9553">
        <v>1432405</v>
      </c>
      <c r="D9553">
        <v>104940</v>
      </c>
    </row>
    <row r="9554" spans="1:4" x14ac:dyDescent="0.25">
      <c r="A9554" t="str">
        <f>T("   130239")</f>
        <v xml:space="preserve">   130239</v>
      </c>
      <c r="B9554" t="str">
        <f>T("   Mucilages et épaississants dérivés des végétaux, même modifiés (à l'excl. de l'agar-agar et des mucilages et épaississants de caroubes, de graines de caroubes ou de graines de guarée)")</f>
        <v xml:space="preserve">   Mucilages et épaississants dérivés des végétaux, même modifiés (à l'excl. de l'agar-agar et des mucilages et épaississants de caroubes, de graines de caroubes ou de graines de guarée)</v>
      </c>
      <c r="C9554">
        <v>17097628</v>
      </c>
      <c r="D9554">
        <v>27550</v>
      </c>
    </row>
    <row r="9555" spans="1:4" x14ac:dyDescent="0.25">
      <c r="A9555" t="str">
        <f>T("   151110")</f>
        <v xml:space="preserve">   151110</v>
      </c>
      <c r="B9555" t="str">
        <f>T("   Huile de palme, brute")</f>
        <v xml:space="preserve">   Huile de palme, brute</v>
      </c>
      <c r="C9555">
        <v>92425500</v>
      </c>
      <c r="D9555">
        <v>369702</v>
      </c>
    </row>
    <row r="9556" spans="1:4" x14ac:dyDescent="0.25">
      <c r="A9556" t="str">
        <f>T("   151190")</f>
        <v xml:space="preserve">   151190</v>
      </c>
      <c r="B9556" t="str">
        <f>T("   Huile de palme et ses fractions, même raffinées, mais non chimiquement modifiées (à l'excl. de l'huile de palme brute)")</f>
        <v xml:space="preserve">   Huile de palme et ses fractions, même raffinées, mais non chimiquement modifiées (à l'excl. de l'huile de palme brute)</v>
      </c>
      <c r="C9556">
        <v>637446576.68900001</v>
      </c>
      <c r="D9556">
        <v>1418389</v>
      </c>
    </row>
    <row r="9557" spans="1:4" x14ac:dyDescent="0.25">
      <c r="A9557" t="str">
        <f>T("   151221")</f>
        <v xml:space="preserve">   151221</v>
      </c>
      <c r="B9557" t="str">
        <f>T("   Huile de coton, brute, même dépourvue de gossipol")</f>
        <v xml:space="preserve">   Huile de coton, brute, même dépourvue de gossipol</v>
      </c>
      <c r="C9557">
        <v>36615000</v>
      </c>
      <c r="D9557">
        <v>147000</v>
      </c>
    </row>
    <row r="9558" spans="1:4" x14ac:dyDescent="0.25">
      <c r="A9558" t="str">
        <f>T("   151229")</f>
        <v xml:space="preserve">   151229</v>
      </c>
      <c r="B9558"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9558">
        <v>887756215</v>
      </c>
      <c r="D9558">
        <v>3455870</v>
      </c>
    </row>
    <row r="9559" spans="1:4" x14ac:dyDescent="0.25">
      <c r="A9559" t="str">
        <f>T("   151311")</f>
        <v xml:space="preserve">   151311</v>
      </c>
      <c r="B9559" t="str">
        <f>T("   Huile de coco [coprah], brute")</f>
        <v xml:space="preserve">   Huile de coco [coprah], brute</v>
      </c>
      <c r="C9559">
        <v>364000</v>
      </c>
      <c r="D9559">
        <v>1456</v>
      </c>
    </row>
    <row r="9560" spans="1:4" x14ac:dyDescent="0.25">
      <c r="A9560" t="str">
        <f>T("   151319")</f>
        <v xml:space="preserve">   151319</v>
      </c>
      <c r="B9560" t="str">
        <f>T("   Huile de coco [coprah] et ses fractions, même raffinées, mais non chimiquement modifiées (à l'excl. de l'huile de coco brute)")</f>
        <v xml:space="preserve">   Huile de coco [coprah] et ses fractions, même raffinées, mais non chimiquement modifiées (à l'excl. de l'huile de coco brute)</v>
      </c>
      <c r="C9560">
        <v>125700</v>
      </c>
      <c r="D9560">
        <v>502.8</v>
      </c>
    </row>
    <row r="9561" spans="1:4" x14ac:dyDescent="0.25">
      <c r="A9561" t="str">
        <f>T("   151321")</f>
        <v xml:space="preserve">   151321</v>
      </c>
      <c r="B9561" t="str">
        <f>T("   Huiles de palmiste ou de babassu, brutes")</f>
        <v xml:space="preserve">   Huiles de palmiste ou de babassu, brutes</v>
      </c>
      <c r="C9561">
        <v>239250</v>
      </c>
      <c r="D9561">
        <v>957</v>
      </c>
    </row>
    <row r="9562" spans="1:4" x14ac:dyDescent="0.25">
      <c r="A9562" t="str">
        <f>T("   151710")</f>
        <v xml:space="preserve">   151710</v>
      </c>
      <c r="B9562" t="str">
        <f>T("   Margarine (à l'excl. de la margarine liquide)")</f>
        <v xml:space="preserve">   Margarine (à l'excl. de la margarine liquide)</v>
      </c>
      <c r="C9562">
        <v>26575725</v>
      </c>
      <c r="D9562">
        <v>54955</v>
      </c>
    </row>
    <row r="9563" spans="1:4" x14ac:dyDescent="0.25">
      <c r="A9563" t="str">
        <f>T("   160100")</f>
        <v xml:space="preserve">   160100</v>
      </c>
      <c r="B9563" t="str">
        <f>T("   Saucisses, saucissons et produits simil., de viande, d'abats ou de sang; préparations alimentaires à base de ces produits")</f>
        <v xml:space="preserve">   Saucisses, saucissons et produits simil., de viande, d'abats ou de sang; préparations alimentaires à base de ces produits</v>
      </c>
      <c r="C9563">
        <v>5024578</v>
      </c>
      <c r="D9563">
        <v>22540</v>
      </c>
    </row>
    <row r="9564" spans="1:4" x14ac:dyDescent="0.25">
      <c r="A9564" t="str">
        <f>T("   160239")</f>
        <v xml:space="preserve">   160239</v>
      </c>
      <c r="B9564" t="s">
        <v>41</v>
      </c>
      <c r="C9564">
        <v>3705843</v>
      </c>
      <c r="D9564">
        <v>17300</v>
      </c>
    </row>
    <row r="9565" spans="1:4" x14ac:dyDescent="0.25">
      <c r="A9565" t="str">
        <f>T("   160413")</f>
        <v xml:space="preserve">   160413</v>
      </c>
      <c r="B9565"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9565">
        <v>29831081</v>
      </c>
      <c r="D9565">
        <v>125258</v>
      </c>
    </row>
    <row r="9566" spans="1:4" x14ac:dyDescent="0.25">
      <c r="A9566" t="str">
        <f>T("   160420")</f>
        <v xml:space="preserve">   160420</v>
      </c>
      <c r="B9566" t="str">
        <f>T("   Préparations et conserves de poissons (à l'excl. des préparations et conserves de poissons entiers ou en morceaux)")</f>
        <v xml:space="preserve">   Préparations et conserves de poissons (à l'excl. des préparations et conserves de poissons entiers ou en morceaux)</v>
      </c>
      <c r="C9566">
        <v>5200000</v>
      </c>
      <c r="D9566">
        <v>15500</v>
      </c>
    </row>
    <row r="9567" spans="1:4" x14ac:dyDescent="0.25">
      <c r="A9567" t="str">
        <f>T("   160520")</f>
        <v xml:space="preserve">   160520</v>
      </c>
      <c r="B9567" t="str">
        <f>T("   Crevettes, préparées ou conservées")</f>
        <v xml:space="preserve">   Crevettes, préparées ou conservées</v>
      </c>
      <c r="C9567">
        <v>261946</v>
      </c>
      <c r="D9567">
        <v>1940</v>
      </c>
    </row>
    <row r="9568" spans="1:4" x14ac:dyDescent="0.25">
      <c r="A9568" t="str">
        <f>T("   170111")</f>
        <v xml:space="preserve">   170111</v>
      </c>
      <c r="B9568" t="str">
        <f>T("   Sucres de canne, bruts, sans addition d'aromatisants ou de colorants")</f>
        <v xml:space="preserve">   Sucres de canne, bruts, sans addition d'aromatisants ou de colorants</v>
      </c>
      <c r="C9568">
        <v>163881597</v>
      </c>
      <c r="D9568">
        <v>584040</v>
      </c>
    </row>
    <row r="9569" spans="1:4" x14ac:dyDescent="0.25">
      <c r="A9569" t="str">
        <f>T("   170191")</f>
        <v xml:space="preserve">   170191</v>
      </c>
      <c r="B9569" t="str">
        <f>T("   Sucres de canne ou de betterave, à l'état solide, additionnés d'aromatisants ou de colorants")</f>
        <v xml:space="preserve">   Sucres de canne ou de betterave, à l'état solide, additionnés d'aromatisants ou de colorants</v>
      </c>
      <c r="C9569">
        <v>124412410</v>
      </c>
      <c r="D9569">
        <v>429983</v>
      </c>
    </row>
    <row r="9570" spans="1:4" x14ac:dyDescent="0.25">
      <c r="A9570" t="str">
        <f>T("   170199")</f>
        <v xml:space="preserve">   170199</v>
      </c>
      <c r="B9570"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570">
        <v>213539130.852</v>
      </c>
      <c r="D9570">
        <v>843100</v>
      </c>
    </row>
    <row r="9571" spans="1:4" x14ac:dyDescent="0.25">
      <c r="A9571" t="str">
        <f>T("   170290")</f>
        <v xml:space="preserve">   170290</v>
      </c>
      <c r="B9571" t="s">
        <v>46</v>
      </c>
      <c r="C9571">
        <v>5064571</v>
      </c>
      <c r="D9571">
        <v>4000</v>
      </c>
    </row>
    <row r="9572" spans="1:4" x14ac:dyDescent="0.25">
      <c r="A9572" t="str">
        <f>T("   170410")</f>
        <v xml:space="preserve">   170410</v>
      </c>
      <c r="B9572" t="str">
        <f>T("   Gommes à mâcher [chewing-gum], même enrobées de sucre")</f>
        <v xml:space="preserve">   Gommes à mâcher [chewing-gum], même enrobées de sucre</v>
      </c>
      <c r="C9572">
        <v>50256284</v>
      </c>
      <c r="D9572">
        <v>409458</v>
      </c>
    </row>
    <row r="9573" spans="1:4" x14ac:dyDescent="0.25">
      <c r="A9573" t="str">
        <f>T("   170490")</f>
        <v xml:space="preserve">   170490</v>
      </c>
      <c r="B9573" t="str">
        <f>T("   Sucreries sans cacao, y.c. le chocolat blanc (à l'excl. des gommes à mâcher)")</f>
        <v xml:space="preserve">   Sucreries sans cacao, y.c. le chocolat blanc (à l'excl. des gommes à mâcher)</v>
      </c>
      <c r="C9573">
        <v>432359438</v>
      </c>
      <c r="D9573">
        <v>2607968</v>
      </c>
    </row>
    <row r="9574" spans="1:4" x14ac:dyDescent="0.25">
      <c r="A9574" t="str">
        <f>T("   180100")</f>
        <v xml:space="preserve">   180100</v>
      </c>
      <c r="B9574" t="str">
        <f>T("   Cacao en fèves et brisures de fèves, bruts ou torréfiés")</f>
        <v xml:space="preserve">   Cacao en fèves et brisures de fèves, bruts ou torréfiés</v>
      </c>
      <c r="C9574">
        <v>431144</v>
      </c>
      <c r="D9574">
        <v>1990</v>
      </c>
    </row>
    <row r="9575" spans="1:4" x14ac:dyDescent="0.25">
      <c r="A9575" t="str">
        <f>T("   180200")</f>
        <v xml:space="preserve">   180200</v>
      </c>
      <c r="B9575" t="str">
        <f>T("   Coques, pellicules [pelures] et autres déchets de cacao")</f>
        <v xml:space="preserve">   Coques, pellicules [pelures] et autres déchets de cacao</v>
      </c>
      <c r="C9575">
        <v>8567281</v>
      </c>
      <c r="D9575">
        <v>70835</v>
      </c>
    </row>
    <row r="9576" spans="1:4" x14ac:dyDescent="0.25">
      <c r="A9576" t="str">
        <f>T("   180400")</f>
        <v xml:space="preserve">   180400</v>
      </c>
      <c r="B9576" t="str">
        <f>T("   Beurre, graisse et huile de cacao")</f>
        <v xml:space="preserve">   Beurre, graisse et huile de cacao</v>
      </c>
      <c r="C9576">
        <v>87272</v>
      </c>
      <c r="D9576">
        <v>35</v>
      </c>
    </row>
    <row r="9577" spans="1:4" x14ac:dyDescent="0.25">
      <c r="A9577" t="str">
        <f>T("   180610")</f>
        <v xml:space="preserve">   180610</v>
      </c>
      <c r="B9577" t="str">
        <f>T("   Poudre de cacao, additionnée de sucre ou d'autres édulcorants")</f>
        <v xml:space="preserve">   Poudre de cacao, additionnée de sucre ou d'autres édulcorants</v>
      </c>
      <c r="C9577">
        <v>17586712</v>
      </c>
      <c r="D9577">
        <v>94756</v>
      </c>
    </row>
    <row r="9578" spans="1:4" x14ac:dyDescent="0.25">
      <c r="A9578" t="str">
        <f>T("   180620")</f>
        <v xml:space="preserve">   180620</v>
      </c>
      <c r="B9578" t="s">
        <v>47</v>
      </c>
      <c r="C9578">
        <v>2396000</v>
      </c>
      <c r="D9578">
        <v>14080</v>
      </c>
    </row>
    <row r="9579" spans="1:4" x14ac:dyDescent="0.25">
      <c r="A9579" t="str">
        <f>T("   180632")</f>
        <v xml:space="preserve">   180632</v>
      </c>
      <c r="B9579"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9579">
        <v>793224</v>
      </c>
      <c r="D9579">
        <v>3000</v>
      </c>
    </row>
    <row r="9580" spans="1:4" x14ac:dyDescent="0.25">
      <c r="A9580" t="str">
        <f>T("   180690")</f>
        <v xml:space="preserve">   180690</v>
      </c>
      <c r="B958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580">
        <v>6190772</v>
      </c>
      <c r="D9580">
        <v>26580</v>
      </c>
    </row>
    <row r="9581" spans="1:4" x14ac:dyDescent="0.25">
      <c r="A9581" t="str">
        <f>T("   190110")</f>
        <v xml:space="preserve">   190110</v>
      </c>
      <c r="B9581" t="s">
        <v>48</v>
      </c>
      <c r="C9581">
        <v>19264324</v>
      </c>
      <c r="D9581">
        <v>85441</v>
      </c>
    </row>
    <row r="9582" spans="1:4" x14ac:dyDescent="0.25">
      <c r="A9582" t="str">
        <f>T("   190120")</f>
        <v xml:space="preserve">   190120</v>
      </c>
      <c r="B9582" t="s">
        <v>49</v>
      </c>
      <c r="C9582">
        <v>2583150</v>
      </c>
      <c r="D9582">
        <v>11740</v>
      </c>
    </row>
    <row r="9583" spans="1:4" x14ac:dyDescent="0.25">
      <c r="A9583" t="str">
        <f>T("   190190")</f>
        <v xml:space="preserve">   190190</v>
      </c>
      <c r="B9583" t="s">
        <v>50</v>
      </c>
      <c r="C9583">
        <v>330128324</v>
      </c>
      <c r="D9583">
        <v>1391725</v>
      </c>
    </row>
    <row r="9584" spans="1:4" x14ac:dyDescent="0.25">
      <c r="A9584" t="str">
        <f>T("   190219")</f>
        <v xml:space="preserve">   190219</v>
      </c>
      <c r="B9584" t="str">
        <f>T("   PÂTES ALIMENTAIRES NON-CUITES NI FARCIES NI AUTREMENT PRÉPARÉES, NE CONTENANT PAS D'OEUFS")</f>
        <v xml:space="preserve">   PÂTES ALIMENTAIRES NON-CUITES NI FARCIES NI AUTREMENT PRÉPARÉES, NE CONTENANT PAS D'OEUFS</v>
      </c>
      <c r="C9584">
        <v>289235826</v>
      </c>
      <c r="D9584">
        <v>1855030</v>
      </c>
    </row>
    <row r="9585" spans="1:4" x14ac:dyDescent="0.25">
      <c r="A9585" t="str">
        <f>T("   190220")</f>
        <v xml:space="preserve">   190220</v>
      </c>
      <c r="B9585" t="str">
        <f>T("   Pâtes alimentaires, farcies de viande ou d'autres substances, même cuites ou autrement préparées")</f>
        <v xml:space="preserve">   Pâtes alimentaires, farcies de viande ou d'autres substances, même cuites ou autrement préparées</v>
      </c>
      <c r="C9585">
        <v>17504052</v>
      </c>
      <c r="D9585">
        <v>107560</v>
      </c>
    </row>
    <row r="9586" spans="1:4" x14ac:dyDescent="0.25">
      <c r="A9586" t="str">
        <f>T("   190230")</f>
        <v xml:space="preserve">   190230</v>
      </c>
      <c r="B9586" t="str">
        <f>T("   Pâtes alimentaires, cuites ou autrement préparées (à l'excl. des pâtes alimentaires farcies)")</f>
        <v xml:space="preserve">   Pâtes alimentaires, cuites ou autrement préparées (à l'excl. des pâtes alimentaires farcies)</v>
      </c>
      <c r="C9586">
        <v>99557184</v>
      </c>
      <c r="D9586">
        <v>591225</v>
      </c>
    </row>
    <row r="9587" spans="1:4" x14ac:dyDescent="0.25">
      <c r="A9587" t="str">
        <f>T("   190490")</f>
        <v xml:space="preserve">   190490</v>
      </c>
      <c r="B9587" t="s">
        <v>51</v>
      </c>
      <c r="C9587">
        <v>7084958</v>
      </c>
      <c r="D9587">
        <v>31400</v>
      </c>
    </row>
    <row r="9588" spans="1:4" x14ac:dyDescent="0.25">
      <c r="A9588" t="str">
        <f>T("   190530")</f>
        <v xml:space="preserve">   190530</v>
      </c>
      <c r="B9588"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9588">
        <v>216100</v>
      </c>
      <c r="D9588">
        <v>1250</v>
      </c>
    </row>
    <row r="9589" spans="1:4" x14ac:dyDescent="0.25">
      <c r="A9589" t="str">
        <f>T("   190531")</f>
        <v xml:space="preserve">   190531</v>
      </c>
      <c r="B9589" t="str">
        <f>T("   Biscuits additionnés d'édulcorants")</f>
        <v xml:space="preserve">   Biscuits additionnés d'édulcorants</v>
      </c>
      <c r="C9589">
        <v>15636960</v>
      </c>
      <c r="D9589">
        <v>59159</v>
      </c>
    </row>
    <row r="9590" spans="1:4" x14ac:dyDescent="0.25">
      <c r="A9590" t="str">
        <f>T("   190590")</f>
        <v xml:space="preserve">   190590</v>
      </c>
      <c r="B9590" t="s">
        <v>52</v>
      </c>
      <c r="C9590">
        <v>139113358</v>
      </c>
      <c r="D9590">
        <v>723301</v>
      </c>
    </row>
    <row r="9591" spans="1:4" x14ac:dyDescent="0.25">
      <c r="A9591" t="str">
        <f>T("   200190")</f>
        <v xml:space="preserve">   200190</v>
      </c>
      <c r="B9591"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9591">
        <v>991000</v>
      </c>
      <c r="D9591">
        <v>15240</v>
      </c>
    </row>
    <row r="9592" spans="1:4" x14ac:dyDescent="0.25">
      <c r="A9592" t="str">
        <f>T("   200290")</f>
        <v xml:space="preserve">   200290</v>
      </c>
      <c r="B959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592">
        <v>453216016</v>
      </c>
      <c r="D9592">
        <v>2471625</v>
      </c>
    </row>
    <row r="9593" spans="1:4" x14ac:dyDescent="0.25">
      <c r="A9593" t="str">
        <f>T("   200551")</f>
        <v xml:space="preserve">   200551</v>
      </c>
      <c r="B9593"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9593">
        <v>690082</v>
      </c>
      <c r="D9593">
        <v>3159</v>
      </c>
    </row>
    <row r="9594" spans="1:4" x14ac:dyDescent="0.25">
      <c r="A9594" t="str">
        <f>T("   200559")</f>
        <v xml:space="preserve">   200559</v>
      </c>
      <c r="B9594"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9594">
        <v>8698052</v>
      </c>
      <c r="D9594">
        <v>77990</v>
      </c>
    </row>
    <row r="9595" spans="1:4" x14ac:dyDescent="0.25">
      <c r="A9595" t="str">
        <f>T("   200710")</f>
        <v xml:space="preserve">   200710</v>
      </c>
      <c r="B9595" t="s">
        <v>54</v>
      </c>
      <c r="C9595">
        <v>19568666</v>
      </c>
      <c r="D9595">
        <v>121490</v>
      </c>
    </row>
    <row r="9596" spans="1:4" x14ac:dyDescent="0.25">
      <c r="A9596" t="str">
        <f>T("   200799")</f>
        <v xml:space="preserve">   200799</v>
      </c>
      <c r="B9596" t="s">
        <v>55</v>
      </c>
      <c r="C9596">
        <v>43223</v>
      </c>
      <c r="D9596">
        <v>30</v>
      </c>
    </row>
    <row r="9597" spans="1:4" x14ac:dyDescent="0.25">
      <c r="A9597" t="str">
        <f>T("   200819")</f>
        <v xml:space="preserve">   200819</v>
      </c>
      <c r="B9597" t="s">
        <v>56</v>
      </c>
      <c r="C9597">
        <v>34573</v>
      </c>
      <c r="D9597">
        <v>280</v>
      </c>
    </row>
    <row r="9598" spans="1:4" x14ac:dyDescent="0.25">
      <c r="A9598" t="str">
        <f>T("   200840")</f>
        <v xml:space="preserve">   200840</v>
      </c>
      <c r="B9598" t="str">
        <f>T("   Poires, préparées ou conservées, avec ou sans addition de sucre ou d'autres édulcorants ou d'alcool, n.d.a.")</f>
        <v xml:space="preserve">   Poires, préparées ou conservées, avec ou sans addition de sucre ou d'autres édulcorants ou d'alcool, n.d.a.</v>
      </c>
      <c r="C9598">
        <v>648299</v>
      </c>
      <c r="D9598">
        <v>5660</v>
      </c>
    </row>
    <row r="9599" spans="1:4" x14ac:dyDescent="0.25">
      <c r="A9599" t="str">
        <f>T("   200919")</f>
        <v xml:space="preserve">   200919</v>
      </c>
      <c r="B9599"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9599">
        <v>10464542</v>
      </c>
      <c r="D9599">
        <v>102923.5</v>
      </c>
    </row>
    <row r="9600" spans="1:4" x14ac:dyDescent="0.25">
      <c r="A9600" t="str">
        <f>T("   200980")</f>
        <v xml:space="preserve">   200980</v>
      </c>
      <c r="B960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9600">
        <v>6542777</v>
      </c>
      <c r="D9600">
        <v>36330</v>
      </c>
    </row>
    <row r="9601" spans="1:4" x14ac:dyDescent="0.25">
      <c r="A9601" t="str">
        <f>T("   200990")</f>
        <v xml:space="preserve">   200990</v>
      </c>
      <c r="B960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601">
        <v>4231525</v>
      </c>
      <c r="D9601">
        <v>41707</v>
      </c>
    </row>
    <row r="9602" spans="1:4" x14ac:dyDescent="0.25">
      <c r="A9602" t="str">
        <f>T("   210112")</f>
        <v xml:space="preserve">   210112</v>
      </c>
      <c r="B9602" t="str">
        <f>T("   Préparations à base d'extraits, essences ou concentrés de café ou à base de café")</f>
        <v xml:space="preserve">   Préparations à base d'extraits, essences ou concentrés de café ou à base de café</v>
      </c>
      <c r="C9602">
        <v>11871161</v>
      </c>
      <c r="D9602">
        <v>22866</v>
      </c>
    </row>
    <row r="9603" spans="1:4" x14ac:dyDescent="0.25">
      <c r="A9603" t="str">
        <f>T("   210220")</f>
        <v xml:space="preserve">   210220</v>
      </c>
      <c r="B9603"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9603">
        <v>4925278</v>
      </c>
      <c r="D9603">
        <v>21200</v>
      </c>
    </row>
    <row r="9604" spans="1:4" x14ac:dyDescent="0.25">
      <c r="A9604" t="str">
        <f>T("   210230")</f>
        <v xml:space="preserve">   210230</v>
      </c>
      <c r="B9604" t="str">
        <f>T("   Poudres à lever préparées")</f>
        <v xml:space="preserve">   Poudres à lever préparées</v>
      </c>
      <c r="C9604">
        <v>69060422</v>
      </c>
      <c r="D9604">
        <v>481360</v>
      </c>
    </row>
    <row r="9605" spans="1:4" x14ac:dyDescent="0.25">
      <c r="A9605" t="str">
        <f>T("   210390")</f>
        <v xml:space="preserve">   210390</v>
      </c>
      <c r="B960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605">
        <v>46338530</v>
      </c>
      <c r="D9605">
        <v>238427</v>
      </c>
    </row>
    <row r="9606" spans="1:4" x14ac:dyDescent="0.25">
      <c r="A9606" t="str">
        <f>T("   210410")</f>
        <v xml:space="preserve">   210410</v>
      </c>
      <c r="B9606" t="str">
        <f>T("   Préparations pour soupes, potages ou bouillons; soupes, potages ou bouillons préparés")</f>
        <v xml:space="preserve">   Préparations pour soupes, potages ou bouillons; soupes, potages ou bouillons préparés</v>
      </c>
      <c r="C9606">
        <v>374763688</v>
      </c>
      <c r="D9606">
        <v>1392051</v>
      </c>
    </row>
    <row r="9607" spans="1:4" x14ac:dyDescent="0.25">
      <c r="A9607" t="str">
        <f>T("   210500")</f>
        <v xml:space="preserve">   210500</v>
      </c>
      <c r="B9607" t="str">
        <f>T("   Glaces de consommation, même contenant du cacao")</f>
        <v xml:space="preserve">   Glaces de consommation, même contenant du cacao</v>
      </c>
      <c r="C9607">
        <v>1221616956</v>
      </c>
      <c r="D9607">
        <v>3993056</v>
      </c>
    </row>
    <row r="9608" spans="1:4" x14ac:dyDescent="0.25">
      <c r="A9608" t="str">
        <f>T("   210610")</f>
        <v xml:space="preserve">   210610</v>
      </c>
      <c r="B9608" t="str">
        <f>T("   Concentrats de protéines et substances protéiques texturées")</f>
        <v xml:space="preserve">   Concentrats de protéines et substances protéiques texturées</v>
      </c>
      <c r="C9608">
        <v>4659113</v>
      </c>
      <c r="D9608">
        <v>20792</v>
      </c>
    </row>
    <row r="9609" spans="1:4" x14ac:dyDescent="0.25">
      <c r="A9609" t="str">
        <f>T("   210690")</f>
        <v xml:space="preserve">   210690</v>
      </c>
      <c r="B9609" t="str">
        <f>T("   Préparations alimentaires, n.d.a.")</f>
        <v xml:space="preserve">   Préparations alimentaires, n.d.a.</v>
      </c>
      <c r="C9609">
        <v>989397</v>
      </c>
      <c r="D9609">
        <v>1954</v>
      </c>
    </row>
    <row r="9610" spans="1:4" x14ac:dyDescent="0.25">
      <c r="A9610" t="str">
        <f>T("   220110")</f>
        <v xml:space="preserve">   220110</v>
      </c>
      <c r="B9610" t="str">
        <f>T("   Eaux minérales et eaux gazéifiées, non additionnées de sucre ou d'autres édulcorants ni aromatisées")</f>
        <v xml:space="preserve">   Eaux minérales et eaux gazéifiées, non additionnées de sucre ou d'autres édulcorants ni aromatisées</v>
      </c>
      <c r="C9610">
        <v>33310487</v>
      </c>
      <c r="D9610">
        <v>275911</v>
      </c>
    </row>
    <row r="9611" spans="1:4" x14ac:dyDescent="0.25">
      <c r="A9611" t="str">
        <f>T("   220210")</f>
        <v xml:space="preserve">   220210</v>
      </c>
      <c r="B961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611">
        <v>1920872407</v>
      </c>
      <c r="D9611">
        <v>5478093</v>
      </c>
    </row>
    <row r="9612" spans="1:4" x14ac:dyDescent="0.25">
      <c r="A9612" t="str">
        <f>T("   220290")</f>
        <v xml:space="preserve">   220290</v>
      </c>
      <c r="B9612" t="str">
        <f>T("   BOISSONS NON-ALCOOLIQUES (À L'EXCL. DES EAUX, DES JUS DE FRUITS OU DE LÉGUMES AINSI QUE DU LAIT)")</f>
        <v xml:space="preserve">   BOISSONS NON-ALCOOLIQUES (À L'EXCL. DES EAUX, DES JUS DE FRUITS OU DE LÉGUMES AINSI QUE DU LAIT)</v>
      </c>
      <c r="C9612">
        <v>111300316</v>
      </c>
      <c r="D9612">
        <v>893257</v>
      </c>
    </row>
    <row r="9613" spans="1:4" x14ac:dyDescent="0.25">
      <c r="A9613" t="str">
        <f>T("   220300")</f>
        <v xml:space="preserve">   220300</v>
      </c>
      <c r="B9613" t="str">
        <f>T("   Bières de malt")</f>
        <v xml:space="preserve">   Bières de malt</v>
      </c>
      <c r="C9613">
        <v>768056538</v>
      </c>
      <c r="D9613">
        <v>3144383</v>
      </c>
    </row>
    <row r="9614" spans="1:4" x14ac:dyDescent="0.25">
      <c r="A9614" t="str">
        <f>T("   220410")</f>
        <v xml:space="preserve">   220410</v>
      </c>
      <c r="B9614" t="str">
        <f>T("   Vins mousseux produits à partir de raisins frais")</f>
        <v xml:space="preserve">   Vins mousseux produits à partir de raisins frais</v>
      </c>
      <c r="C9614">
        <v>15737106</v>
      </c>
      <c r="D9614">
        <v>143382</v>
      </c>
    </row>
    <row r="9615" spans="1:4" x14ac:dyDescent="0.25">
      <c r="A9615" t="str">
        <f>T("   220421")</f>
        <v xml:space="preserve">   220421</v>
      </c>
      <c r="B961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9615">
        <v>16376654</v>
      </c>
      <c r="D9615">
        <v>61785.5</v>
      </c>
    </row>
    <row r="9616" spans="1:4" x14ac:dyDescent="0.25">
      <c r="A9616" t="str">
        <f>T("   220429")</f>
        <v xml:space="preserve">   220429</v>
      </c>
      <c r="B9616"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9616">
        <v>8091483</v>
      </c>
      <c r="D9616">
        <v>59226</v>
      </c>
    </row>
    <row r="9617" spans="1:4" x14ac:dyDescent="0.25">
      <c r="A9617" t="str">
        <f>T("   220830")</f>
        <v xml:space="preserve">   220830</v>
      </c>
      <c r="B9617" t="str">
        <f>T("   Whiskies")</f>
        <v xml:space="preserve">   Whiskies</v>
      </c>
      <c r="C9617">
        <v>12291916</v>
      </c>
      <c r="D9617">
        <v>107016</v>
      </c>
    </row>
    <row r="9618" spans="1:4" x14ac:dyDescent="0.25">
      <c r="A9618" t="str">
        <f>T("   220840")</f>
        <v xml:space="preserve">   220840</v>
      </c>
      <c r="B9618" t="str">
        <f>T("   RHUM ET AUTRES EAUX-DE-VIE PROVENANT DE LA DISTILLATION, APRÈS FERMENTATION, DE PRODUITS DE CANNES À SUCRE")</f>
        <v xml:space="preserve">   RHUM ET AUTRES EAUX-DE-VIE PROVENANT DE LA DISTILLATION, APRÈS FERMENTATION, DE PRODUITS DE CANNES À SUCRE</v>
      </c>
      <c r="C9618">
        <v>984501</v>
      </c>
      <c r="D9618">
        <v>12600</v>
      </c>
    </row>
    <row r="9619" spans="1:4" x14ac:dyDescent="0.25">
      <c r="A9619" t="str">
        <f>T("   220850")</f>
        <v xml:space="preserve">   220850</v>
      </c>
      <c r="B9619" t="str">
        <f>T("   Gin et genièvre")</f>
        <v xml:space="preserve">   Gin et genièvre</v>
      </c>
      <c r="C9619">
        <v>13825995</v>
      </c>
      <c r="D9619">
        <v>99980</v>
      </c>
    </row>
    <row r="9620" spans="1:4" x14ac:dyDescent="0.25">
      <c r="A9620" t="str">
        <f>T("   220870")</f>
        <v xml:space="preserve">   220870</v>
      </c>
      <c r="B9620" t="str">
        <f>T("   LIQUEURS")</f>
        <v xml:space="preserve">   LIQUEURS</v>
      </c>
      <c r="C9620">
        <v>14342613</v>
      </c>
      <c r="D9620">
        <v>79237</v>
      </c>
    </row>
    <row r="9621" spans="1:4" x14ac:dyDescent="0.25">
      <c r="A9621" t="str">
        <f>T("   220890")</f>
        <v xml:space="preserve">   220890</v>
      </c>
      <c r="B9621" t="s">
        <v>61</v>
      </c>
      <c r="C9621">
        <v>44023708</v>
      </c>
      <c r="D9621">
        <v>220181</v>
      </c>
    </row>
    <row r="9622" spans="1:4" x14ac:dyDescent="0.25">
      <c r="A9622" t="str">
        <f>T("   230110")</f>
        <v xml:space="preserve">   230110</v>
      </c>
      <c r="B9622" t="str">
        <f>T("   Farines, poudres et agglomérés sous forme de pellets, de viandes ou d'abats, impropres à l'alimentation humaine; cretons")</f>
        <v xml:space="preserve">   Farines, poudres et agglomérés sous forme de pellets, de viandes ou d'abats, impropres à l'alimentation humaine; cretons</v>
      </c>
      <c r="C9622">
        <v>3130880</v>
      </c>
      <c r="D9622">
        <v>14080</v>
      </c>
    </row>
    <row r="9623" spans="1:4" x14ac:dyDescent="0.25">
      <c r="A9623" t="str">
        <f>T("   230120")</f>
        <v xml:space="preserve">   230120</v>
      </c>
      <c r="B9623"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623">
        <v>2196452</v>
      </c>
      <c r="D9623">
        <v>44976</v>
      </c>
    </row>
    <row r="9624" spans="1:4" x14ac:dyDescent="0.25">
      <c r="A9624" t="str">
        <f>T("   230230")</f>
        <v xml:space="preserve">   230230</v>
      </c>
      <c r="B9624"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9624">
        <v>64309434</v>
      </c>
      <c r="D9624">
        <v>1156263</v>
      </c>
    </row>
    <row r="9625" spans="1:4" x14ac:dyDescent="0.25">
      <c r="A9625" t="str">
        <f>T("   230240")</f>
        <v xml:space="preserve">   230240</v>
      </c>
      <c r="B9625"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9625">
        <v>11778432</v>
      </c>
      <c r="D9625">
        <v>459420</v>
      </c>
    </row>
    <row r="9626" spans="1:4" x14ac:dyDescent="0.25">
      <c r="A9626" t="str">
        <f>T("   230400")</f>
        <v xml:space="preserve">   230400</v>
      </c>
      <c r="B962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9626">
        <v>247784</v>
      </c>
      <c r="D9626">
        <v>13984</v>
      </c>
    </row>
    <row r="9627" spans="1:4" x14ac:dyDescent="0.25">
      <c r="A9627" t="str">
        <f>T("   230890")</f>
        <v xml:space="preserve">   230890</v>
      </c>
      <c r="B9627" t="s">
        <v>62</v>
      </c>
      <c r="C9627">
        <v>141579</v>
      </c>
      <c r="D9627">
        <v>3040</v>
      </c>
    </row>
    <row r="9628" spans="1:4" x14ac:dyDescent="0.25">
      <c r="A9628" t="str">
        <f>T("   230910")</f>
        <v xml:space="preserve">   230910</v>
      </c>
      <c r="B9628" t="str">
        <f>T("   Aliments pour chiens ou chats, conditionnés pour la vente au détail")</f>
        <v xml:space="preserve">   Aliments pour chiens ou chats, conditionnés pour la vente au détail</v>
      </c>
      <c r="C9628">
        <v>5097346</v>
      </c>
      <c r="D9628">
        <v>25910</v>
      </c>
    </row>
    <row r="9629" spans="1:4" x14ac:dyDescent="0.25">
      <c r="A9629" t="str">
        <f>T("   230990")</f>
        <v xml:space="preserve">   230990</v>
      </c>
      <c r="B9629"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9629">
        <v>22854105</v>
      </c>
      <c r="D9629">
        <v>86260</v>
      </c>
    </row>
    <row r="9630" spans="1:4" x14ac:dyDescent="0.25">
      <c r="A9630" t="str">
        <f>T("   250100")</f>
        <v xml:space="preserve">   250100</v>
      </c>
      <c r="B9630" t="s">
        <v>63</v>
      </c>
      <c r="C9630">
        <v>26023803</v>
      </c>
      <c r="D9630">
        <v>733054</v>
      </c>
    </row>
    <row r="9631" spans="1:4" x14ac:dyDescent="0.25">
      <c r="A9631" t="str">
        <f>T("   250590")</f>
        <v xml:space="preserve">   250590</v>
      </c>
      <c r="B9631"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9631">
        <v>200000</v>
      </c>
      <c r="D9631">
        <v>10000</v>
      </c>
    </row>
    <row r="9632" spans="1:4" x14ac:dyDescent="0.25">
      <c r="A9632" t="str">
        <f>T("   250900")</f>
        <v xml:space="preserve">   250900</v>
      </c>
      <c r="B9632" t="str">
        <f>T("   Craie")</f>
        <v xml:space="preserve">   Craie</v>
      </c>
      <c r="C9632">
        <v>740959</v>
      </c>
      <c r="D9632">
        <v>5900</v>
      </c>
    </row>
    <row r="9633" spans="1:4" x14ac:dyDescent="0.25">
      <c r="A9633" t="str">
        <f>T("   251512")</f>
        <v xml:space="preserve">   251512</v>
      </c>
      <c r="B9633" t="str">
        <f>T("   MARBRES ET TRAVERTINS, SIMPL. DÉBITÉS, PAR SCIAGE OU AUTREMENT, EN BLOCS OU EN PLAQUES DE FORME CARRÉE OU RECTANGULAIRE")</f>
        <v xml:space="preserve">   MARBRES ET TRAVERTINS, SIMPL. DÉBITÉS, PAR SCIAGE OU AUTREMENT, EN BLOCS OU EN PLAQUES DE FORME CARRÉE OU RECTANGULAIRE</v>
      </c>
      <c r="C9633">
        <v>791558</v>
      </c>
      <c r="D9633">
        <v>15630</v>
      </c>
    </row>
    <row r="9634" spans="1:4" x14ac:dyDescent="0.25">
      <c r="A9634" t="str">
        <f>T("   252010")</f>
        <v xml:space="preserve">   252010</v>
      </c>
      <c r="B9634" t="str">
        <f>T("   Gypse; anhydrite")</f>
        <v xml:space="preserve">   Gypse; anhydrite</v>
      </c>
      <c r="C9634">
        <v>879507</v>
      </c>
      <c r="D9634">
        <v>6160</v>
      </c>
    </row>
    <row r="9635" spans="1:4" x14ac:dyDescent="0.25">
      <c r="A9635" t="str">
        <f>T("   252210")</f>
        <v xml:space="preserve">   252210</v>
      </c>
      <c r="B9635" t="str">
        <f>T("   Chaux vive")</f>
        <v xml:space="preserve">   Chaux vive</v>
      </c>
      <c r="C9635">
        <v>900000</v>
      </c>
      <c r="D9635">
        <v>4210</v>
      </c>
    </row>
    <row r="9636" spans="1:4" x14ac:dyDescent="0.25">
      <c r="A9636" t="str">
        <f>T("   252230")</f>
        <v xml:space="preserve">   252230</v>
      </c>
      <c r="B9636" t="str">
        <f>T("   Chaux hydraulique (à l'excl. de l'oxyde et de l'hydroxyde de calcium)")</f>
        <v xml:space="preserve">   Chaux hydraulique (à l'excl. de l'oxyde et de l'hydroxyde de calcium)</v>
      </c>
      <c r="C9636">
        <v>151270</v>
      </c>
      <c r="D9636">
        <v>1000</v>
      </c>
    </row>
    <row r="9637" spans="1:4" x14ac:dyDescent="0.25">
      <c r="A9637" t="str">
        <f>T("   252329")</f>
        <v xml:space="preserve">   252329</v>
      </c>
      <c r="B9637" t="str">
        <f>T("   Ciment Portland normal ou modéré (à l'excl. des ciments Portland blancs, même colorés artificiellement)")</f>
        <v xml:space="preserve">   Ciment Portland normal ou modéré (à l'excl. des ciments Portland blancs, même colorés artificiellement)</v>
      </c>
      <c r="C9637">
        <v>13078110000</v>
      </c>
      <c r="D9637">
        <v>217415000</v>
      </c>
    </row>
    <row r="9638" spans="1:4" x14ac:dyDescent="0.25">
      <c r="A9638" t="str">
        <f>T("   260900")</f>
        <v xml:space="preserve">   260900</v>
      </c>
      <c r="B9638" t="str">
        <f>T("   Minerais d'étain et leurs concentrés")</f>
        <v xml:space="preserve">   Minerais d'étain et leurs concentrés</v>
      </c>
      <c r="C9638">
        <v>316625</v>
      </c>
      <c r="D9638">
        <v>1665</v>
      </c>
    </row>
    <row r="9639" spans="1:4" x14ac:dyDescent="0.25">
      <c r="A9639" t="str">
        <f>T("   270120")</f>
        <v xml:space="preserve">   270120</v>
      </c>
      <c r="B9639" t="str">
        <f>T("   BRIQUETTES, BOULETS ET COMBUSTIBLES SOLIDES SIMIL. OBTENUS À PARTIR DE LA HOUILLE")</f>
        <v xml:space="preserve">   BRIQUETTES, BOULETS ET COMBUSTIBLES SOLIDES SIMIL. OBTENUS À PARTIR DE LA HOUILLE</v>
      </c>
      <c r="C9639">
        <v>1271856</v>
      </c>
      <c r="D9639">
        <v>7000</v>
      </c>
    </row>
    <row r="9640" spans="1:4" x14ac:dyDescent="0.25">
      <c r="A9640" t="str">
        <f>T("   271000")</f>
        <v xml:space="preserve">   271000</v>
      </c>
      <c r="B9640"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9640">
        <v>87385</v>
      </c>
      <c r="D9640">
        <v>30</v>
      </c>
    </row>
    <row r="9641" spans="1:4" x14ac:dyDescent="0.25">
      <c r="A9641" t="str">
        <f>T("   271011")</f>
        <v xml:space="preserve">   271011</v>
      </c>
      <c r="B964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641">
        <v>2389375547</v>
      </c>
      <c r="D9641">
        <v>8007922</v>
      </c>
    </row>
    <row r="9642" spans="1:4" x14ac:dyDescent="0.25">
      <c r="A9642" t="str">
        <f>T("   271019")</f>
        <v xml:space="preserve">   271019</v>
      </c>
      <c r="B9642" t="str">
        <f>T("   Huiles moyennes et préparations, de pétrole ou de minéraux bitumineux, n.d.a.")</f>
        <v xml:space="preserve">   Huiles moyennes et préparations, de pétrole ou de minéraux bitumineux, n.d.a.</v>
      </c>
      <c r="C9642">
        <v>16647088546</v>
      </c>
      <c r="D9642">
        <v>50109955</v>
      </c>
    </row>
    <row r="9643" spans="1:4" x14ac:dyDescent="0.25">
      <c r="A9643" t="str">
        <f>T("   271113")</f>
        <v xml:space="preserve">   271113</v>
      </c>
      <c r="B9643" t="str">
        <f>T("   Butanes, liquéfiés (à l'excl. des butanes d'une pureté &gt;= 95% en n-butane ou en isobutane)")</f>
        <v xml:space="preserve">   Butanes, liquéfiés (à l'excl. des butanes d'une pureté &gt;= 95% en n-butane ou en isobutane)</v>
      </c>
      <c r="C9643">
        <v>416582000</v>
      </c>
      <c r="D9643">
        <v>1415822</v>
      </c>
    </row>
    <row r="9644" spans="1:4" x14ac:dyDescent="0.25">
      <c r="A9644" t="str">
        <f>T("   271129")</f>
        <v xml:space="preserve">   271129</v>
      </c>
      <c r="B9644" t="str">
        <f>T("   Hydrocarbures à l'état gazeux, n.d.a. (à l'excl. du gaz naturel)")</f>
        <v xml:space="preserve">   Hydrocarbures à l'état gazeux, n.d.a. (à l'excl. du gaz naturel)</v>
      </c>
      <c r="C9644">
        <v>376665</v>
      </c>
      <c r="D9644">
        <v>99.5</v>
      </c>
    </row>
    <row r="9645" spans="1:4" x14ac:dyDescent="0.25">
      <c r="A9645" t="str">
        <f>T("   271320")</f>
        <v xml:space="preserve">   271320</v>
      </c>
      <c r="B9645" t="str">
        <f>T("   Bitume de pétrole")</f>
        <v xml:space="preserve">   Bitume de pétrole</v>
      </c>
      <c r="C9645">
        <v>464185886</v>
      </c>
      <c r="D9645">
        <v>1132440</v>
      </c>
    </row>
    <row r="9646" spans="1:4" x14ac:dyDescent="0.25">
      <c r="A9646" t="str">
        <f>T("   271490")</f>
        <v xml:space="preserve">   271490</v>
      </c>
      <c r="B9646" t="str">
        <f>T("   Bitumes et asphaltes, naturels; asphaltites et roches asphaltiques")</f>
        <v xml:space="preserve">   Bitumes et asphaltes, naturels; asphaltites et roches asphaltiques</v>
      </c>
      <c r="C9646">
        <v>65664393</v>
      </c>
      <c r="D9646">
        <v>162980</v>
      </c>
    </row>
    <row r="9647" spans="1:4" x14ac:dyDescent="0.25">
      <c r="A9647" t="str">
        <f>T("   271600")</f>
        <v xml:space="preserve">   271600</v>
      </c>
      <c r="B9647" t="str">
        <f>T("   Energie électrique")</f>
        <v xml:space="preserve">   Energie électrique</v>
      </c>
      <c r="C9647">
        <v>67608835136.339996</v>
      </c>
      <c r="D9647">
        <v>0</v>
      </c>
    </row>
    <row r="9648" spans="1:4" x14ac:dyDescent="0.25">
      <c r="A9648" t="str">
        <f>T("   280410")</f>
        <v xml:space="preserve">   280410</v>
      </c>
      <c r="B9648" t="str">
        <f>T("   Hydrogène")</f>
        <v xml:space="preserve">   Hydrogène</v>
      </c>
      <c r="C9648">
        <v>89527</v>
      </c>
      <c r="D9648">
        <v>50</v>
      </c>
    </row>
    <row r="9649" spans="1:4" x14ac:dyDescent="0.25">
      <c r="A9649" t="str">
        <f>T("   280429")</f>
        <v xml:space="preserve">   280429</v>
      </c>
      <c r="B9649" t="str">
        <f>T("   Gaz rares (à l'excl. de l'argon)")</f>
        <v xml:space="preserve">   Gaz rares (à l'excl. de l'argon)</v>
      </c>
      <c r="C9649">
        <v>229330</v>
      </c>
      <c r="D9649">
        <v>106</v>
      </c>
    </row>
    <row r="9650" spans="1:4" x14ac:dyDescent="0.25">
      <c r="A9650" t="str">
        <f>T("   280430")</f>
        <v xml:space="preserve">   280430</v>
      </c>
      <c r="B9650" t="str">
        <f>T("   Azote")</f>
        <v xml:space="preserve">   Azote</v>
      </c>
      <c r="C9650">
        <v>2649808</v>
      </c>
      <c r="D9650">
        <v>6846.6</v>
      </c>
    </row>
    <row r="9651" spans="1:4" x14ac:dyDescent="0.25">
      <c r="A9651" t="str">
        <f>T("   280440")</f>
        <v xml:space="preserve">   280440</v>
      </c>
      <c r="B9651" t="str">
        <f>T("   Oxygène")</f>
        <v xml:space="preserve">   Oxygène</v>
      </c>
      <c r="C9651">
        <v>46757023</v>
      </c>
      <c r="D9651">
        <v>438422</v>
      </c>
    </row>
    <row r="9652" spans="1:4" x14ac:dyDescent="0.25">
      <c r="A9652" t="str">
        <f>T("   280610")</f>
        <v xml:space="preserve">   280610</v>
      </c>
      <c r="B9652" t="str">
        <f>T("   Chlorure d'hydrogène [acide chlorhydrique]")</f>
        <v xml:space="preserve">   Chlorure d'hydrogène [acide chlorhydrique]</v>
      </c>
      <c r="C9652">
        <v>2829992</v>
      </c>
      <c r="D9652">
        <v>12125</v>
      </c>
    </row>
    <row r="9653" spans="1:4" x14ac:dyDescent="0.25">
      <c r="A9653" t="str">
        <f>T("   280700")</f>
        <v xml:space="preserve">   280700</v>
      </c>
      <c r="B9653" t="str">
        <f>T("   Acide sulfurique; oléum")</f>
        <v xml:space="preserve">   Acide sulfurique; oléum</v>
      </c>
      <c r="C9653">
        <v>400000</v>
      </c>
      <c r="D9653">
        <v>100</v>
      </c>
    </row>
    <row r="9654" spans="1:4" x14ac:dyDescent="0.25">
      <c r="A9654" t="str">
        <f>T("   281420")</f>
        <v xml:space="preserve">   281420</v>
      </c>
      <c r="B9654" t="str">
        <f>T("   Ammoniac en solution aqueuse [ammoniaque]")</f>
        <v xml:space="preserve">   Ammoniac en solution aqueuse [ammoniaque]</v>
      </c>
      <c r="C9654">
        <v>38195</v>
      </c>
      <c r="D9654">
        <v>163</v>
      </c>
    </row>
    <row r="9655" spans="1:4" x14ac:dyDescent="0.25">
      <c r="A9655" t="str">
        <f>T("   281511")</f>
        <v xml:space="preserve">   281511</v>
      </c>
      <c r="B9655" t="str">
        <f>T("   Hydroxyde de sodium [soude caustique], solide")</f>
        <v xml:space="preserve">   Hydroxyde de sodium [soude caustique], solide</v>
      </c>
      <c r="C9655">
        <v>6519430</v>
      </c>
      <c r="D9655">
        <v>51140</v>
      </c>
    </row>
    <row r="9656" spans="1:4" x14ac:dyDescent="0.25">
      <c r="A9656" t="str">
        <f>T("   281512")</f>
        <v xml:space="preserve">   281512</v>
      </c>
      <c r="B9656" t="str">
        <f>T("   Hydroxyde de sodium en solution aqueuse [lessive de soude caustique]")</f>
        <v xml:space="preserve">   Hydroxyde de sodium en solution aqueuse [lessive de soude caustique]</v>
      </c>
      <c r="C9656">
        <v>5872874</v>
      </c>
      <c r="D9656">
        <v>36945</v>
      </c>
    </row>
    <row r="9657" spans="1:4" x14ac:dyDescent="0.25">
      <c r="A9657" t="str">
        <f>T("   282810")</f>
        <v xml:space="preserve">   282810</v>
      </c>
      <c r="B9657" t="str">
        <f>T("   Hypochlorites de calcium, y.c. l'hypochlorite de calcium du commerce")</f>
        <v xml:space="preserve">   Hypochlorites de calcium, y.c. l'hypochlorite de calcium du commerce</v>
      </c>
      <c r="C9657">
        <v>2005378</v>
      </c>
      <c r="D9657">
        <v>3520</v>
      </c>
    </row>
    <row r="9658" spans="1:4" x14ac:dyDescent="0.25">
      <c r="A9658" t="str">
        <f>T("   282890")</f>
        <v xml:space="preserve">   282890</v>
      </c>
      <c r="B9658" t="str">
        <f>T("   Hypochlorites, chlorites et hypobromites (à l'excl. des hypochlorites de calcium)")</f>
        <v xml:space="preserve">   Hypochlorites, chlorites et hypobromites (à l'excl. des hypochlorites de calcium)</v>
      </c>
      <c r="C9658">
        <v>6215895</v>
      </c>
      <c r="D9658">
        <v>33430</v>
      </c>
    </row>
    <row r="9659" spans="1:4" x14ac:dyDescent="0.25">
      <c r="A9659" t="str">
        <f>T("   282919")</f>
        <v xml:space="preserve">   282919</v>
      </c>
      <c r="B9659" t="str">
        <f>T("   Chlorates (autres que de sodium)")</f>
        <v xml:space="preserve">   Chlorates (autres que de sodium)</v>
      </c>
      <c r="C9659">
        <v>311960</v>
      </c>
      <c r="D9659">
        <v>1301</v>
      </c>
    </row>
    <row r="9660" spans="1:4" x14ac:dyDescent="0.25">
      <c r="A9660" t="str">
        <f>T("   283330")</f>
        <v xml:space="preserve">   283330</v>
      </c>
      <c r="B9660" t="str">
        <f>T("   Aluns")</f>
        <v xml:space="preserve">   Aluns</v>
      </c>
      <c r="C9660">
        <v>497887</v>
      </c>
      <c r="D9660">
        <v>2139</v>
      </c>
    </row>
    <row r="9661" spans="1:4" x14ac:dyDescent="0.25">
      <c r="A9661" t="str">
        <f>T("   283630")</f>
        <v xml:space="preserve">   283630</v>
      </c>
      <c r="B9661" t="str">
        <f>T("   Hydrogénocarbonate [bicarbonate] de sodium")</f>
        <v xml:space="preserve">   Hydrogénocarbonate [bicarbonate] de sodium</v>
      </c>
      <c r="C9661">
        <v>626669</v>
      </c>
      <c r="D9661">
        <v>4540</v>
      </c>
    </row>
    <row r="9662" spans="1:4" x14ac:dyDescent="0.25">
      <c r="A9662" t="str">
        <f>T("   283650")</f>
        <v xml:space="preserve">   283650</v>
      </c>
      <c r="B9662" t="str">
        <f>T("   Carbonate de calcium")</f>
        <v xml:space="preserve">   Carbonate de calcium</v>
      </c>
      <c r="C9662">
        <v>1370548</v>
      </c>
      <c r="D9662">
        <v>11012</v>
      </c>
    </row>
    <row r="9663" spans="1:4" x14ac:dyDescent="0.25">
      <c r="A9663" t="str">
        <f>T("   283699")</f>
        <v xml:space="preserve">   283699</v>
      </c>
      <c r="B9663" t="s">
        <v>66</v>
      </c>
      <c r="C9663">
        <v>282069</v>
      </c>
      <c r="D9663">
        <v>1409</v>
      </c>
    </row>
    <row r="9664" spans="1:4" x14ac:dyDescent="0.25">
      <c r="A9664" t="str">
        <f>T("   284161")</f>
        <v xml:space="preserve">   284161</v>
      </c>
      <c r="B9664" t="str">
        <f>T("   PERMANGANATE DE POTASSIUM")</f>
        <v xml:space="preserve">   PERMANGANATE DE POTASSIUM</v>
      </c>
      <c r="C9664">
        <v>89519</v>
      </c>
      <c r="D9664">
        <v>25</v>
      </c>
    </row>
    <row r="9665" spans="1:4" x14ac:dyDescent="0.25">
      <c r="A9665" t="str">
        <f>T("   284910")</f>
        <v xml:space="preserve">   284910</v>
      </c>
      <c r="B9665" t="str">
        <f>T("   Carbure de calcium, de constitution chimique définie ou non")</f>
        <v xml:space="preserve">   Carbure de calcium, de constitution chimique définie ou non</v>
      </c>
      <c r="C9665">
        <v>43885002</v>
      </c>
      <c r="D9665">
        <v>190775</v>
      </c>
    </row>
    <row r="9666" spans="1:4" x14ac:dyDescent="0.25">
      <c r="A9666" t="str">
        <f>T("   284990")</f>
        <v xml:space="preserve">   284990</v>
      </c>
      <c r="B9666" t="str">
        <f>T("   Carbures, de constitution chimique définie ou non (à l'excl. des carbures de calcium et de silicium)")</f>
        <v xml:space="preserve">   Carbures, de constitution chimique définie ou non (à l'excl. des carbures de calcium et de silicium)</v>
      </c>
      <c r="C9666">
        <v>7344716</v>
      </c>
      <c r="D9666">
        <v>34350</v>
      </c>
    </row>
    <row r="9667" spans="1:4" x14ac:dyDescent="0.25">
      <c r="A9667" t="str">
        <f>T("   290110")</f>
        <v xml:space="preserve">   290110</v>
      </c>
      <c r="B9667" t="str">
        <f>T("   Hydrocarbures acycliques, saturés")</f>
        <v xml:space="preserve">   Hydrocarbures acycliques, saturés</v>
      </c>
      <c r="C9667">
        <v>75423188</v>
      </c>
      <c r="D9667">
        <v>65380</v>
      </c>
    </row>
    <row r="9668" spans="1:4" x14ac:dyDescent="0.25">
      <c r="A9668" t="str">
        <f>T("   290312")</f>
        <v xml:space="preserve">   290312</v>
      </c>
      <c r="B9668" t="str">
        <f>T("   Dichlorométhane [chlorure de méthylène]")</f>
        <v xml:space="preserve">   Dichlorométhane [chlorure de méthylène]</v>
      </c>
      <c r="C9668">
        <v>2887326</v>
      </c>
      <c r="D9668">
        <v>4000</v>
      </c>
    </row>
    <row r="9669" spans="1:4" x14ac:dyDescent="0.25">
      <c r="A9669" t="str">
        <f>T("   290532")</f>
        <v xml:space="preserve">   290532</v>
      </c>
      <c r="B9669" t="str">
        <f>T("   Propylène glycol [propane-1,2-diol]")</f>
        <v xml:space="preserve">   Propylène glycol [propane-1,2-diol]</v>
      </c>
      <c r="C9669">
        <v>12076292</v>
      </c>
      <c r="D9669">
        <v>200</v>
      </c>
    </row>
    <row r="9670" spans="1:4" x14ac:dyDescent="0.25">
      <c r="A9670" t="str">
        <f>T("   290545")</f>
        <v xml:space="preserve">   290545</v>
      </c>
      <c r="B9670" t="str">
        <f>T("   Glycérol")</f>
        <v xml:space="preserve">   Glycérol</v>
      </c>
      <c r="C9670">
        <v>1866013</v>
      </c>
      <c r="D9670">
        <v>6800</v>
      </c>
    </row>
    <row r="9671" spans="1:4" x14ac:dyDescent="0.25">
      <c r="A9671" t="str">
        <f>T("   290549")</f>
        <v xml:space="preserve">   290549</v>
      </c>
      <c r="B9671" t="str">
        <f>T("   Triols, tétrols et autres polyalcools acycliques (à l'excl. des diols, du 2-éthyl-2-(hydroxyméthyl)propane-1,3-diol [triméthylolpropane], du pentaérythritol, du mannitol, du D-glucitol [sorbitol] et du glycérol)")</f>
        <v xml:space="preserve">   Triols, tétrols et autres polyalcools acycliques (à l'excl. des diols, du 2-éthyl-2-(hydroxyméthyl)propane-1,3-diol [triméthylolpropane], du pentaérythritol, du mannitol, du D-glucitol [sorbitol] et du glycérol)</v>
      </c>
      <c r="C9671">
        <v>72623</v>
      </c>
      <c r="D9671">
        <v>230</v>
      </c>
    </row>
    <row r="9672" spans="1:4" x14ac:dyDescent="0.25">
      <c r="A9672" t="str">
        <f>T("   291737")</f>
        <v xml:space="preserve">   291737</v>
      </c>
      <c r="B9672" t="str">
        <f>T("   Téréphtalate de diméthyle")</f>
        <v xml:space="preserve">   Téréphtalate de diméthyle</v>
      </c>
      <c r="C9672">
        <v>89519</v>
      </c>
      <c r="D9672">
        <v>729</v>
      </c>
    </row>
    <row r="9673" spans="1:4" x14ac:dyDescent="0.25">
      <c r="A9673" t="str">
        <f>T("   291814")</f>
        <v xml:space="preserve">   291814</v>
      </c>
      <c r="B9673" t="str">
        <f>T("   Acide citrique")</f>
        <v xml:space="preserve">   Acide citrique</v>
      </c>
      <c r="C9673">
        <v>17726</v>
      </c>
      <c r="D9673">
        <v>75</v>
      </c>
    </row>
    <row r="9674" spans="1:4" x14ac:dyDescent="0.25">
      <c r="A9674" t="str">
        <f>T("   291819")</f>
        <v xml:space="preserve">   291819</v>
      </c>
      <c r="B9674" t="s">
        <v>72</v>
      </c>
      <c r="C9674">
        <v>660448</v>
      </c>
      <c r="D9674">
        <v>220</v>
      </c>
    </row>
    <row r="9675" spans="1:4" x14ac:dyDescent="0.25">
      <c r="A9675" t="str">
        <f>T("   292242")</f>
        <v xml:space="preserve">   292242</v>
      </c>
      <c r="B9675" t="str">
        <f>T("   Acide glutamique et ses sels")</f>
        <v xml:space="preserve">   Acide glutamique et ses sels</v>
      </c>
      <c r="C9675">
        <v>27108881</v>
      </c>
      <c r="D9675">
        <v>154400</v>
      </c>
    </row>
    <row r="9676" spans="1:4" x14ac:dyDescent="0.25">
      <c r="A9676" t="str">
        <f>T("   300420")</f>
        <v xml:space="preserve">   300420</v>
      </c>
      <c r="B9676" t="s">
        <v>79</v>
      </c>
      <c r="C9676">
        <v>589823943</v>
      </c>
      <c r="D9676">
        <v>238566.62</v>
      </c>
    </row>
    <row r="9677" spans="1:4" x14ac:dyDescent="0.25">
      <c r="A9677" t="str">
        <f>T("   300439")</f>
        <v xml:space="preserve">   300439</v>
      </c>
      <c r="B9677" t="s">
        <v>81</v>
      </c>
      <c r="C9677">
        <v>74560297</v>
      </c>
      <c r="D9677">
        <v>276014.39</v>
      </c>
    </row>
    <row r="9678" spans="1:4" x14ac:dyDescent="0.25">
      <c r="A9678" t="str">
        <f>T("   300490")</f>
        <v xml:space="preserve">   300490</v>
      </c>
      <c r="B9678" t="s">
        <v>84</v>
      </c>
      <c r="C9678">
        <v>208771974</v>
      </c>
      <c r="D9678">
        <v>84963.5</v>
      </c>
    </row>
    <row r="9679" spans="1:4" x14ac:dyDescent="0.25">
      <c r="A9679" t="str">
        <f>T("   300510")</f>
        <v xml:space="preserve">   300510</v>
      </c>
      <c r="B9679"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9679">
        <v>8400000</v>
      </c>
      <c r="D9679">
        <v>7950</v>
      </c>
    </row>
    <row r="9680" spans="1:4" x14ac:dyDescent="0.25">
      <c r="A9680" t="str">
        <f>T("   300630")</f>
        <v xml:space="preserve">   300630</v>
      </c>
      <c r="B9680"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9680">
        <v>3625000</v>
      </c>
      <c r="D9680">
        <v>939</v>
      </c>
    </row>
    <row r="9681" spans="1:4" x14ac:dyDescent="0.25">
      <c r="A9681" t="str">
        <f>T("   320290")</f>
        <v xml:space="preserve">   320290</v>
      </c>
      <c r="B9681" t="str">
        <f>T("   Produits tannants inorganiques; préparations tannantes, même contenant des produits tannants naturels; préparations enzymatiques pour le prétannage")</f>
        <v xml:space="preserve">   Produits tannants inorganiques; préparations tannantes, même contenant des produits tannants naturels; préparations enzymatiques pour le prétannage</v>
      </c>
      <c r="C9681">
        <v>738007</v>
      </c>
      <c r="D9681">
        <v>2870</v>
      </c>
    </row>
    <row r="9682" spans="1:4" x14ac:dyDescent="0.25">
      <c r="A9682" t="str">
        <f>T("   320416")</f>
        <v xml:space="preserve">   320416</v>
      </c>
      <c r="B9682" t="s">
        <v>95</v>
      </c>
      <c r="C9682">
        <v>179051</v>
      </c>
      <c r="D9682">
        <v>250</v>
      </c>
    </row>
    <row r="9683" spans="1:4" x14ac:dyDescent="0.25">
      <c r="A9683" t="str">
        <f>T("   320419")</f>
        <v xml:space="preserve">   320419</v>
      </c>
      <c r="B9683" t="s">
        <v>97</v>
      </c>
      <c r="C9683">
        <v>2864819</v>
      </c>
      <c r="D9683">
        <v>5000</v>
      </c>
    </row>
    <row r="9684" spans="1:4" x14ac:dyDescent="0.25">
      <c r="A9684" t="str">
        <f>T("   320810")</f>
        <v xml:space="preserve">   320810</v>
      </c>
      <c r="B9684"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9684">
        <v>4376047</v>
      </c>
      <c r="D9684">
        <v>12000</v>
      </c>
    </row>
    <row r="9685" spans="1:4" x14ac:dyDescent="0.25">
      <c r="A9685" t="str">
        <f>T("   320820")</f>
        <v xml:space="preserve">   320820</v>
      </c>
      <c r="B9685" t="s">
        <v>101</v>
      </c>
      <c r="C9685">
        <v>74767258</v>
      </c>
      <c r="D9685">
        <v>408660</v>
      </c>
    </row>
    <row r="9686" spans="1:4" x14ac:dyDescent="0.25">
      <c r="A9686" t="str">
        <f>T("   320890")</f>
        <v xml:space="preserve">   320890</v>
      </c>
      <c r="B9686" t="s">
        <v>102</v>
      </c>
      <c r="C9686">
        <v>5510744</v>
      </c>
      <c r="D9686">
        <v>33600</v>
      </c>
    </row>
    <row r="9687" spans="1:4" x14ac:dyDescent="0.25">
      <c r="A9687" t="str">
        <f>T("   320910")</f>
        <v xml:space="preserve">   320910</v>
      </c>
      <c r="B9687" t="str">
        <f>T("   Peintures et vernis à base de polymères acryliques ou vinyliques, dispersés ou dissous dans un milieu aqueux")</f>
        <v xml:space="preserve">   Peintures et vernis à base de polymères acryliques ou vinyliques, dispersés ou dissous dans un milieu aqueux</v>
      </c>
      <c r="C9687">
        <v>10269746</v>
      </c>
      <c r="D9687">
        <v>47370</v>
      </c>
    </row>
    <row r="9688" spans="1:4" x14ac:dyDescent="0.25">
      <c r="A9688" t="str">
        <f>T("   321000")</f>
        <v xml:space="preserve">   321000</v>
      </c>
      <c r="B9688"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9688">
        <v>764608</v>
      </c>
      <c r="D9688">
        <v>2780</v>
      </c>
    </row>
    <row r="9689" spans="1:4" x14ac:dyDescent="0.25">
      <c r="A9689" t="str">
        <f>T("   321410")</f>
        <v xml:space="preserve">   321410</v>
      </c>
      <c r="B9689" t="str">
        <f>T("   Mastic de vitrier, ciments de résine et autres mastics; enduits utilisés en peinture")</f>
        <v xml:space="preserve">   Mastic de vitrier, ciments de résine et autres mastics; enduits utilisés en peinture</v>
      </c>
      <c r="C9689">
        <v>810775</v>
      </c>
      <c r="D9689">
        <v>4000</v>
      </c>
    </row>
    <row r="9690" spans="1:4" x14ac:dyDescent="0.25">
      <c r="A9690" t="str">
        <f>T("   321490")</f>
        <v xml:space="preserve">   321490</v>
      </c>
      <c r="B9690" t="str">
        <f>T("   Enduits non réfractaires des types utilisés en maçonnerie")</f>
        <v xml:space="preserve">   Enduits non réfractaires des types utilisés en maçonnerie</v>
      </c>
      <c r="C9690">
        <v>12177122</v>
      </c>
      <c r="D9690">
        <v>98440</v>
      </c>
    </row>
    <row r="9691" spans="1:4" x14ac:dyDescent="0.25">
      <c r="A9691" t="str">
        <f>T("   321519")</f>
        <v xml:space="preserve">   321519</v>
      </c>
      <c r="B9691" t="str">
        <f>T("   Encres d'imprimerie, même concentrées ou sous formes solides (à l'excl. des encres noires)")</f>
        <v xml:space="preserve">   Encres d'imprimerie, même concentrées ou sous formes solides (à l'excl. des encres noires)</v>
      </c>
      <c r="C9691">
        <v>354244</v>
      </c>
      <c r="D9691">
        <v>1560</v>
      </c>
    </row>
    <row r="9692" spans="1:4" x14ac:dyDescent="0.25">
      <c r="A9692" t="str">
        <f>T("   321590")</f>
        <v xml:space="preserve">   321590</v>
      </c>
      <c r="B9692" t="str">
        <f>T("   Encres à écrire et à dessiner, même concentrées ou sous formes solides")</f>
        <v xml:space="preserve">   Encres à écrire et à dessiner, même concentrées ou sous formes solides</v>
      </c>
      <c r="C9692">
        <v>7015189</v>
      </c>
      <c r="D9692">
        <v>4785</v>
      </c>
    </row>
    <row r="9693" spans="1:4" x14ac:dyDescent="0.25">
      <c r="A9693" t="str">
        <f>T("   330119")</f>
        <v xml:space="preserve">   330119</v>
      </c>
      <c r="B9693"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9693">
        <v>388604</v>
      </c>
      <c r="D9693">
        <v>3220</v>
      </c>
    </row>
    <row r="9694" spans="1:4" x14ac:dyDescent="0.25">
      <c r="A9694" t="str">
        <f>T("   330129")</f>
        <v xml:space="preserve">   330129</v>
      </c>
      <c r="B9694"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9694">
        <v>444414</v>
      </c>
      <c r="D9694">
        <v>2836</v>
      </c>
    </row>
    <row r="9695" spans="1:4" x14ac:dyDescent="0.25">
      <c r="A9695" t="str">
        <f>T("   330190")</f>
        <v xml:space="preserve">   330190</v>
      </c>
      <c r="B9695" t="s">
        <v>104</v>
      </c>
      <c r="C9695">
        <v>989898</v>
      </c>
      <c r="D9695">
        <v>2190</v>
      </c>
    </row>
    <row r="9696" spans="1:4" x14ac:dyDescent="0.25">
      <c r="A9696" t="str">
        <f>T("   330491")</f>
        <v xml:space="preserve">   330491</v>
      </c>
      <c r="B9696"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696">
        <v>1416450</v>
      </c>
      <c r="D9696">
        <v>5000</v>
      </c>
    </row>
    <row r="9697" spans="1:4" x14ac:dyDescent="0.25">
      <c r="A9697" t="str">
        <f>T("   330499")</f>
        <v xml:space="preserve">   330499</v>
      </c>
      <c r="B9697" t="s">
        <v>106</v>
      </c>
      <c r="C9697">
        <v>710406637</v>
      </c>
      <c r="D9697">
        <v>3060687</v>
      </c>
    </row>
    <row r="9698" spans="1:4" x14ac:dyDescent="0.25">
      <c r="A9698" t="str">
        <f>T("   330610")</f>
        <v xml:space="preserve">   330610</v>
      </c>
      <c r="B9698" t="str">
        <f>T("   Dentifrices, préparés, même des types utilisés par les dentistes")</f>
        <v xml:space="preserve">   Dentifrices, préparés, même des types utilisés par les dentistes</v>
      </c>
      <c r="C9698">
        <v>156837668</v>
      </c>
      <c r="D9698">
        <v>742422</v>
      </c>
    </row>
    <row r="9699" spans="1:4" x14ac:dyDescent="0.25">
      <c r="A9699" t="str">
        <f>T("   330690")</f>
        <v xml:space="preserve">   330690</v>
      </c>
      <c r="B9699"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9699">
        <v>1750000</v>
      </c>
      <c r="D9699">
        <v>21000</v>
      </c>
    </row>
    <row r="9700" spans="1:4" x14ac:dyDescent="0.25">
      <c r="A9700" t="str">
        <f>T("   330720")</f>
        <v xml:space="preserve">   330720</v>
      </c>
      <c r="B9700" t="str">
        <f>T("   Désodorisants corporels et antisudoraux, préparés")</f>
        <v xml:space="preserve">   Désodorisants corporels et antisudoraux, préparés</v>
      </c>
      <c r="C9700">
        <v>914941</v>
      </c>
      <c r="D9700">
        <v>2520</v>
      </c>
    </row>
    <row r="9701" spans="1:4" x14ac:dyDescent="0.25">
      <c r="A9701" t="str">
        <f>T("   330790")</f>
        <v xml:space="preserve">   330790</v>
      </c>
      <c r="B9701" t="str">
        <f>T("   Dépilatoires, autres produits de parfumerie ou de toilette préparés et autres préparations cosmétiques, n.d.a.")</f>
        <v xml:space="preserve">   Dépilatoires, autres produits de parfumerie ou de toilette préparés et autres préparations cosmétiques, n.d.a.</v>
      </c>
      <c r="C9701">
        <v>190299</v>
      </c>
      <c r="D9701">
        <v>885</v>
      </c>
    </row>
    <row r="9702" spans="1:4" x14ac:dyDescent="0.25">
      <c r="A9702" t="str">
        <f>T("   340111")</f>
        <v xml:space="preserve">   340111</v>
      </c>
      <c r="B9702" t="s">
        <v>107</v>
      </c>
      <c r="C9702">
        <v>200899020</v>
      </c>
      <c r="D9702">
        <v>805987</v>
      </c>
    </row>
    <row r="9703" spans="1:4" x14ac:dyDescent="0.25">
      <c r="A9703" t="str">
        <f>T("   340119")</f>
        <v xml:space="preserve">   340119</v>
      </c>
      <c r="B9703" t="s">
        <v>108</v>
      </c>
      <c r="C9703">
        <v>1034954648</v>
      </c>
      <c r="D9703">
        <v>2668084</v>
      </c>
    </row>
    <row r="9704" spans="1:4" x14ac:dyDescent="0.25">
      <c r="A9704" t="str">
        <f>T("   340120")</f>
        <v xml:space="preserve">   340120</v>
      </c>
      <c r="B9704" t="str">
        <f>T("   Savons en flocons, en paillettes, en granulés ou en poudres et savons liquides ou pâteux")</f>
        <v xml:space="preserve">   Savons en flocons, en paillettes, en granulés ou en poudres et savons liquides ou pâteux</v>
      </c>
      <c r="C9704">
        <v>7672999</v>
      </c>
      <c r="D9704">
        <v>42912</v>
      </c>
    </row>
    <row r="9705" spans="1:4" x14ac:dyDescent="0.25">
      <c r="A9705" t="str">
        <f>T("   340130")</f>
        <v xml:space="preserve">   340130</v>
      </c>
      <c r="B970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9705">
        <v>874768</v>
      </c>
      <c r="D9705">
        <v>4665</v>
      </c>
    </row>
    <row r="9706" spans="1:4" x14ac:dyDescent="0.25">
      <c r="A9706" t="str">
        <f>T("   340220")</f>
        <v xml:space="preserve">   340220</v>
      </c>
      <c r="B9706" t="s">
        <v>109</v>
      </c>
      <c r="C9706">
        <v>505310990</v>
      </c>
      <c r="D9706">
        <v>2224782</v>
      </c>
    </row>
    <row r="9707" spans="1:4" x14ac:dyDescent="0.25">
      <c r="A9707" t="str">
        <f>T("   340290")</f>
        <v xml:space="preserve">   340290</v>
      </c>
      <c r="B9707" t="s">
        <v>110</v>
      </c>
      <c r="C9707">
        <v>173348366</v>
      </c>
      <c r="D9707">
        <v>748793</v>
      </c>
    </row>
    <row r="9708" spans="1:4" x14ac:dyDescent="0.25">
      <c r="A9708" t="str">
        <f>T("   340510")</f>
        <v xml:space="preserve">   340510</v>
      </c>
      <c r="B9708" t="s">
        <v>114</v>
      </c>
      <c r="C9708">
        <v>763053</v>
      </c>
      <c r="D9708">
        <v>3465</v>
      </c>
    </row>
    <row r="9709" spans="1:4" x14ac:dyDescent="0.25">
      <c r="A9709" t="str">
        <f>T("   340600")</f>
        <v xml:space="preserve">   340600</v>
      </c>
      <c r="B9709" t="str">
        <f>T("   Bougies, chandelles, cierges et articles simil.")</f>
        <v xml:space="preserve">   Bougies, chandelles, cierges et articles simil.</v>
      </c>
      <c r="C9709">
        <v>144399681</v>
      </c>
      <c r="D9709">
        <v>903649</v>
      </c>
    </row>
    <row r="9710" spans="1:4" x14ac:dyDescent="0.25">
      <c r="A9710" t="str">
        <f>T("   350190")</f>
        <v xml:space="preserve">   350190</v>
      </c>
      <c r="B9710"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9710">
        <v>266327</v>
      </c>
      <c r="D9710">
        <v>1000</v>
      </c>
    </row>
    <row r="9711" spans="1:4" x14ac:dyDescent="0.25">
      <c r="A9711" t="str">
        <f>T("   350520")</f>
        <v xml:space="preserve">   350520</v>
      </c>
      <c r="B9711"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9711">
        <v>608057</v>
      </c>
      <c r="D9711">
        <v>2600</v>
      </c>
    </row>
    <row r="9712" spans="1:4" x14ac:dyDescent="0.25">
      <c r="A9712" t="str">
        <f>T("   350610")</f>
        <v xml:space="preserve">   350610</v>
      </c>
      <c r="B9712"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9712">
        <v>4957177</v>
      </c>
      <c r="D9712">
        <v>16231</v>
      </c>
    </row>
    <row r="9713" spans="1:4" x14ac:dyDescent="0.25">
      <c r="A9713" t="str">
        <f>T("   350699")</f>
        <v xml:space="preserve">   350699</v>
      </c>
      <c r="B9713" t="str">
        <f>T("   Colles et autres adhésifs préparés, n.d.a.")</f>
        <v xml:space="preserve">   Colles et autres adhésifs préparés, n.d.a.</v>
      </c>
      <c r="C9713">
        <v>800015</v>
      </c>
      <c r="D9713">
        <v>4300</v>
      </c>
    </row>
    <row r="9714" spans="1:4" x14ac:dyDescent="0.25">
      <c r="A9714" t="str">
        <f>T("   360500")</f>
        <v xml:space="preserve">   360500</v>
      </c>
      <c r="B9714" t="str">
        <f>T("   Allumettes (autres que les articles de pyrotechnie du n° 3604)")</f>
        <v xml:space="preserve">   Allumettes (autres que les articles de pyrotechnie du n° 3604)</v>
      </c>
      <c r="C9714">
        <v>31475431</v>
      </c>
      <c r="D9714">
        <v>111996</v>
      </c>
    </row>
    <row r="9715" spans="1:4" x14ac:dyDescent="0.25">
      <c r="A9715" t="str">
        <f>T("   360610")</f>
        <v xml:space="preserve">   360610</v>
      </c>
      <c r="B9715" t="str">
        <f>T("   Combustibles liquides et gaz combustibles liquéfiés en récipients des types utilisés pour alimenter ou recharger les briquets ou les allumeurs et d'une capacité &lt;= 300 cm³")</f>
        <v xml:space="preserve">   Combustibles liquides et gaz combustibles liquéfiés en récipients des types utilisés pour alimenter ou recharger les briquets ou les allumeurs et d'une capacité &lt;= 300 cm³</v>
      </c>
      <c r="C9715">
        <v>2184599</v>
      </c>
      <c r="D9715">
        <v>4840</v>
      </c>
    </row>
    <row r="9716" spans="1:4" x14ac:dyDescent="0.25">
      <c r="A9716" t="str">
        <f>T("   360690")</f>
        <v xml:space="preserve">   360690</v>
      </c>
      <c r="B9716" t="s">
        <v>119</v>
      </c>
      <c r="C9716">
        <v>8642</v>
      </c>
      <c r="D9716">
        <v>10</v>
      </c>
    </row>
    <row r="9717" spans="1:4" x14ac:dyDescent="0.25">
      <c r="A9717" t="str">
        <f>T("   370390")</f>
        <v xml:space="preserve">   370390</v>
      </c>
      <c r="B9717"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9717">
        <v>1256145</v>
      </c>
      <c r="D9717">
        <v>5730</v>
      </c>
    </row>
    <row r="9718" spans="1:4" x14ac:dyDescent="0.25">
      <c r="A9718" t="str">
        <f>T("   380620")</f>
        <v xml:space="preserve">   380620</v>
      </c>
      <c r="B9718" t="str">
        <f>T("   Sels de colophanes, d'acides résiniques ou de dérivés de colophanes ou d'acides résiniques (autres que les sels des adducts de colophanes)")</f>
        <v xml:space="preserve">   Sels de colophanes, d'acides résiniques ou de dérivés de colophanes ou d'acides résiniques (autres que les sels des adducts de colophanes)</v>
      </c>
      <c r="C9718">
        <v>105524</v>
      </c>
      <c r="D9718">
        <v>520</v>
      </c>
    </row>
    <row r="9719" spans="1:4" x14ac:dyDescent="0.25">
      <c r="A9719" t="str">
        <f>T("   380810")</f>
        <v xml:space="preserve">   380810</v>
      </c>
      <c r="B971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9719">
        <v>3825904</v>
      </c>
      <c r="D9719">
        <v>17933</v>
      </c>
    </row>
    <row r="9720" spans="1:4" x14ac:dyDescent="0.25">
      <c r="A9720" t="str">
        <f>T("   380830")</f>
        <v xml:space="preserve">   380830</v>
      </c>
      <c r="B9720"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9720">
        <v>70361</v>
      </c>
      <c r="D9720">
        <v>1000</v>
      </c>
    </row>
    <row r="9721" spans="1:4" x14ac:dyDescent="0.25">
      <c r="A9721" t="str">
        <f>T("   380840")</f>
        <v xml:space="preserve">   380840</v>
      </c>
      <c r="B9721"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9721">
        <v>38445</v>
      </c>
      <c r="D9721">
        <v>168</v>
      </c>
    </row>
    <row r="9722" spans="1:4" x14ac:dyDescent="0.25">
      <c r="A9722" t="str">
        <f>T("   380850")</f>
        <v xml:space="preserve">   380850</v>
      </c>
      <c r="B9722" t="s">
        <v>125</v>
      </c>
      <c r="C9722">
        <v>40557752</v>
      </c>
      <c r="D9722">
        <v>186852</v>
      </c>
    </row>
    <row r="9723" spans="1:4" x14ac:dyDescent="0.25">
      <c r="A9723" t="str">
        <f>T("   380891")</f>
        <v xml:space="preserve">   380891</v>
      </c>
      <c r="B9723" t="str">
        <f>T("   INSECTICIDES (À L'EXCL. DES MARCHANDISES DU N° 3808.50)")</f>
        <v xml:space="preserve">   INSECTICIDES (À L'EXCL. DES MARCHANDISES DU N° 3808.50)</v>
      </c>
      <c r="C9723">
        <v>3495259</v>
      </c>
      <c r="D9723">
        <v>13394</v>
      </c>
    </row>
    <row r="9724" spans="1:4" x14ac:dyDescent="0.25">
      <c r="A9724" t="str">
        <f>T("   380899")</f>
        <v xml:space="preserve">   380899</v>
      </c>
      <c r="B9724" t="s">
        <v>126</v>
      </c>
      <c r="C9724">
        <v>500000</v>
      </c>
      <c r="D9724">
        <v>625</v>
      </c>
    </row>
    <row r="9725" spans="1:4" x14ac:dyDescent="0.25">
      <c r="A9725" t="str">
        <f>T("   381090")</f>
        <v xml:space="preserve">   381090</v>
      </c>
      <c r="B9725" t="s">
        <v>130</v>
      </c>
      <c r="C9725">
        <v>8192334</v>
      </c>
      <c r="D9725">
        <v>71360</v>
      </c>
    </row>
    <row r="9726" spans="1:4" x14ac:dyDescent="0.25">
      <c r="A9726" t="str">
        <f>T("   381400")</f>
        <v xml:space="preserve">   381400</v>
      </c>
      <c r="B972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9726">
        <v>27349993</v>
      </c>
      <c r="D9726">
        <v>102256</v>
      </c>
    </row>
    <row r="9727" spans="1:4" x14ac:dyDescent="0.25">
      <c r="A9727" t="str">
        <f>T("   382200")</f>
        <v xml:space="preserve">   382200</v>
      </c>
      <c r="B9727" t="s">
        <v>133</v>
      </c>
      <c r="C9727">
        <v>745348</v>
      </c>
      <c r="D9727">
        <v>270</v>
      </c>
    </row>
    <row r="9728" spans="1:4" x14ac:dyDescent="0.25">
      <c r="A9728" t="str">
        <f>T("   382440")</f>
        <v xml:space="preserve">   382440</v>
      </c>
      <c r="B9728" t="str">
        <f>T("   Additifs préparés pour ciments, mortiers ou bétons")</f>
        <v xml:space="preserve">   Additifs préparés pour ciments, mortiers ou bétons</v>
      </c>
      <c r="C9728">
        <v>1679200</v>
      </c>
      <c r="D9728">
        <v>6000</v>
      </c>
    </row>
    <row r="9729" spans="1:4" x14ac:dyDescent="0.25">
      <c r="A9729" t="str">
        <f>T("   382530")</f>
        <v xml:space="preserve">   382530</v>
      </c>
      <c r="B9729" t="str">
        <f>T("   Déchets cliniques")</f>
        <v xml:space="preserve">   Déchets cliniques</v>
      </c>
      <c r="C9729">
        <v>89450</v>
      </c>
      <c r="D9729">
        <v>128</v>
      </c>
    </row>
    <row r="9730" spans="1:4" x14ac:dyDescent="0.25">
      <c r="A9730" t="str">
        <f>T("   390190")</f>
        <v xml:space="preserve">   390190</v>
      </c>
      <c r="B9730"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9730">
        <v>24744240</v>
      </c>
      <c r="D9730">
        <v>226160</v>
      </c>
    </row>
    <row r="9731" spans="1:4" x14ac:dyDescent="0.25">
      <c r="A9731" t="str">
        <f>T("   390210")</f>
        <v xml:space="preserve">   390210</v>
      </c>
      <c r="B9731" t="str">
        <f>T("   Polypropylène, sous formes primaires")</f>
        <v xml:space="preserve">   Polypropylène, sous formes primaires</v>
      </c>
      <c r="C9731">
        <v>16542986</v>
      </c>
      <c r="D9731">
        <v>40860</v>
      </c>
    </row>
    <row r="9732" spans="1:4" x14ac:dyDescent="0.25">
      <c r="A9732" t="str">
        <f>T("   390290")</f>
        <v xml:space="preserve">   390290</v>
      </c>
      <c r="B9732" t="str">
        <f>T("   Polymères de propylène ou d'autres oléfines, sous formes primaires (à l'excl. du polypropylène, du polyisobutylène et des copolymères de propylène)")</f>
        <v xml:space="preserve">   Polymères de propylène ou d'autres oléfines, sous formes primaires (à l'excl. du polypropylène, du polyisobutylène et des copolymères de propylène)</v>
      </c>
      <c r="C9732">
        <v>492524</v>
      </c>
      <c r="D9732">
        <v>2880</v>
      </c>
    </row>
    <row r="9733" spans="1:4" x14ac:dyDescent="0.25">
      <c r="A9733" t="str">
        <f>T("   390311")</f>
        <v xml:space="preserve">   390311</v>
      </c>
      <c r="B9733" t="str">
        <f>T("   Polystyrène expansible, sous formes primaires")</f>
        <v xml:space="preserve">   Polystyrène expansible, sous formes primaires</v>
      </c>
      <c r="C9733">
        <v>2412505</v>
      </c>
      <c r="D9733">
        <v>120</v>
      </c>
    </row>
    <row r="9734" spans="1:4" x14ac:dyDescent="0.25">
      <c r="A9734" t="str">
        <f>T("   390720")</f>
        <v xml:space="preserve">   390720</v>
      </c>
      <c r="B9734" t="str">
        <f>T("   Polyéthers, sous formes primaires (à l'excl. des polyacétals)")</f>
        <v xml:space="preserve">   Polyéthers, sous formes primaires (à l'excl. des polyacétals)</v>
      </c>
      <c r="C9734">
        <v>2511815</v>
      </c>
      <c r="D9734">
        <v>1680</v>
      </c>
    </row>
    <row r="9735" spans="1:4" x14ac:dyDescent="0.25">
      <c r="A9735" t="str">
        <f>T("   391000")</f>
        <v xml:space="preserve">   391000</v>
      </c>
      <c r="B9735" t="str">
        <f>T("   Silicones sous formes primaires")</f>
        <v xml:space="preserve">   Silicones sous formes primaires</v>
      </c>
      <c r="C9735">
        <v>13238196</v>
      </c>
      <c r="D9735">
        <v>2650</v>
      </c>
    </row>
    <row r="9736" spans="1:4" x14ac:dyDescent="0.25">
      <c r="A9736" t="str">
        <f>T("   391710")</f>
        <v xml:space="preserve">   391710</v>
      </c>
      <c r="B9736" t="str">
        <f>T("   Boyaux artificiels en protéines durcies ou en matières plastiques cellulosiques")</f>
        <v xml:space="preserve">   Boyaux artificiels en protéines durcies ou en matières plastiques cellulosiques</v>
      </c>
      <c r="C9736">
        <v>5818179</v>
      </c>
      <c r="D9736">
        <v>23320</v>
      </c>
    </row>
    <row r="9737" spans="1:4" x14ac:dyDescent="0.25">
      <c r="A9737" t="str">
        <f>T("   391721")</f>
        <v xml:space="preserve">   391721</v>
      </c>
      <c r="B9737" t="str">
        <f>T("   TUBES ET TUYAUX RIGIDES, EN POLYMÈRES DE L'ÉTHYLÈNE")</f>
        <v xml:space="preserve">   TUBES ET TUYAUX RIGIDES, EN POLYMÈRES DE L'ÉTHYLÈNE</v>
      </c>
      <c r="C9737">
        <v>19733114</v>
      </c>
      <c r="D9737">
        <v>40020</v>
      </c>
    </row>
    <row r="9738" spans="1:4" x14ac:dyDescent="0.25">
      <c r="A9738" t="str">
        <f>T("   391722")</f>
        <v xml:space="preserve">   391722</v>
      </c>
      <c r="B9738" t="str">
        <f>T("   TUBES ET TUYAUX RIGIDES, EN POLYMÈRES DU PROPYLÈNE")</f>
        <v xml:space="preserve">   TUBES ET TUYAUX RIGIDES, EN POLYMÈRES DU PROPYLÈNE</v>
      </c>
      <c r="C9738">
        <v>259317</v>
      </c>
      <c r="D9738">
        <v>270</v>
      </c>
    </row>
    <row r="9739" spans="1:4" x14ac:dyDescent="0.25">
      <c r="A9739" t="str">
        <f>T("   391723")</f>
        <v xml:space="preserve">   391723</v>
      </c>
      <c r="B9739" t="str">
        <f>T("   TUBES ET TUYAUX RIGIDES, EN POLYMÈRES DU CHLORURE DE VINYLE")</f>
        <v xml:space="preserve">   TUBES ET TUYAUX RIGIDES, EN POLYMÈRES DU CHLORURE DE VINYLE</v>
      </c>
      <c r="C9739">
        <v>191788057</v>
      </c>
      <c r="D9739">
        <v>278533</v>
      </c>
    </row>
    <row r="9740" spans="1:4" x14ac:dyDescent="0.25">
      <c r="A9740" t="str">
        <f>T("   391729")</f>
        <v xml:space="preserve">   391729</v>
      </c>
      <c r="B9740"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9740">
        <v>45418491</v>
      </c>
      <c r="D9740">
        <v>159478</v>
      </c>
    </row>
    <row r="9741" spans="1:4" x14ac:dyDescent="0.25">
      <c r="A9741" t="str">
        <f>T("   391731")</f>
        <v xml:space="preserve">   391731</v>
      </c>
      <c r="B9741" t="str">
        <f>T("   Tubes et tuyaux souples, en matières plastiques, pouvant supporter une pression &gt;= 27,6 MPa, même munis d'accessoires")</f>
        <v xml:space="preserve">   Tubes et tuyaux souples, en matières plastiques, pouvant supporter une pression &gt;= 27,6 MPa, même munis d'accessoires</v>
      </c>
      <c r="C9741">
        <v>5220100</v>
      </c>
      <c r="D9741">
        <v>14213</v>
      </c>
    </row>
    <row r="9742" spans="1:4" x14ac:dyDescent="0.25">
      <c r="A9742" t="str">
        <f>T("   391740")</f>
        <v xml:space="preserve">   391740</v>
      </c>
      <c r="B9742" t="str">
        <f>T("   Accessoires pour tubes ou tuyaux [joints, coudes, raccords, par exemple], en matières plastiques")</f>
        <v xml:space="preserve">   Accessoires pour tubes ou tuyaux [joints, coudes, raccords, par exemple], en matières plastiques</v>
      </c>
      <c r="C9742">
        <v>32873951</v>
      </c>
      <c r="D9742">
        <v>175877</v>
      </c>
    </row>
    <row r="9743" spans="1:4" x14ac:dyDescent="0.25">
      <c r="A9743" t="str">
        <f>T("   391810")</f>
        <v xml:space="preserve">   391810</v>
      </c>
      <c r="B9743" t="s">
        <v>137</v>
      </c>
      <c r="C9743">
        <v>4433842</v>
      </c>
      <c r="D9743">
        <v>34000</v>
      </c>
    </row>
    <row r="9744" spans="1:4" x14ac:dyDescent="0.25">
      <c r="A9744" t="str">
        <f>T("   391890")</f>
        <v xml:space="preserve">   391890</v>
      </c>
      <c r="B9744" t="s">
        <v>138</v>
      </c>
      <c r="C9744">
        <v>3353173</v>
      </c>
      <c r="D9744">
        <v>5344</v>
      </c>
    </row>
    <row r="9745" spans="1:4" x14ac:dyDescent="0.25">
      <c r="A9745" t="str">
        <f>T("   391990")</f>
        <v xml:space="preserve">   391990</v>
      </c>
      <c r="B9745" t="s">
        <v>139</v>
      </c>
      <c r="C9745">
        <v>541679</v>
      </c>
      <c r="D9745">
        <v>90</v>
      </c>
    </row>
    <row r="9746" spans="1:4" x14ac:dyDescent="0.25">
      <c r="A9746" t="str">
        <f>T("   392010")</f>
        <v xml:space="preserve">   392010</v>
      </c>
      <c r="B9746" t="s">
        <v>140</v>
      </c>
      <c r="C9746">
        <v>31023661</v>
      </c>
      <c r="D9746">
        <v>2741</v>
      </c>
    </row>
    <row r="9747" spans="1:4" x14ac:dyDescent="0.25">
      <c r="A9747" t="str">
        <f>T("   392049")</f>
        <v xml:space="preserve">   392049</v>
      </c>
      <c r="B9747" t="s">
        <v>143</v>
      </c>
      <c r="C9747">
        <v>9415001</v>
      </c>
      <c r="D9747">
        <v>21605</v>
      </c>
    </row>
    <row r="9748" spans="1:4" x14ac:dyDescent="0.25">
      <c r="A9748" t="str">
        <f>T("   392062")</f>
        <v xml:space="preserve">   392062</v>
      </c>
      <c r="B9748" t="s">
        <v>146</v>
      </c>
      <c r="C9748">
        <v>3415271</v>
      </c>
      <c r="D9748">
        <v>14905</v>
      </c>
    </row>
    <row r="9749" spans="1:4" x14ac:dyDescent="0.25">
      <c r="A9749" t="str">
        <f>T("   392069")</f>
        <v xml:space="preserve">   392069</v>
      </c>
      <c r="B9749" t="s">
        <v>147</v>
      </c>
      <c r="C9749">
        <v>729150</v>
      </c>
      <c r="D9749">
        <v>1600</v>
      </c>
    </row>
    <row r="9750" spans="1:4" x14ac:dyDescent="0.25">
      <c r="A9750" t="str">
        <f>T("   392119")</f>
        <v xml:space="preserve">   392119</v>
      </c>
      <c r="B9750" t="s">
        <v>154</v>
      </c>
      <c r="C9750">
        <v>72727</v>
      </c>
      <c r="D9750">
        <v>4000</v>
      </c>
    </row>
    <row r="9751" spans="1:4" x14ac:dyDescent="0.25">
      <c r="A9751" t="str">
        <f>T("   392310")</f>
        <v xml:space="preserve">   392310</v>
      </c>
      <c r="B9751" t="str">
        <f>T("   Boîtes, caisses, casiers et articles simil. pour le transport ou l'emballage, en matières plastiques")</f>
        <v xml:space="preserve">   Boîtes, caisses, casiers et articles simil. pour le transport ou l'emballage, en matières plastiques</v>
      </c>
      <c r="C9751">
        <v>961445826</v>
      </c>
      <c r="D9751">
        <v>840620</v>
      </c>
    </row>
    <row r="9752" spans="1:4" x14ac:dyDescent="0.25">
      <c r="A9752" t="str">
        <f>T("   392321")</f>
        <v xml:space="preserve">   392321</v>
      </c>
      <c r="B9752" t="str">
        <f>T("   Sacs, sachets, pochettes et cornets, en polymères de l'éthylène")</f>
        <v xml:space="preserve">   Sacs, sachets, pochettes et cornets, en polymères de l'éthylène</v>
      </c>
      <c r="C9752">
        <v>113429240</v>
      </c>
      <c r="D9752">
        <v>632598</v>
      </c>
    </row>
    <row r="9753" spans="1:4" x14ac:dyDescent="0.25">
      <c r="A9753" t="str">
        <f>T("   392329")</f>
        <v xml:space="preserve">   392329</v>
      </c>
      <c r="B9753" t="str">
        <f>T("   Sacs, sachets, pochettes et cornets, en matières plastiques (autres que les polymères de l'éthylène)")</f>
        <v xml:space="preserve">   Sacs, sachets, pochettes et cornets, en matières plastiques (autres que les polymères de l'éthylène)</v>
      </c>
      <c r="C9753">
        <v>1433977653</v>
      </c>
      <c r="D9753">
        <v>7462763</v>
      </c>
    </row>
    <row r="9754" spans="1:4" x14ac:dyDescent="0.25">
      <c r="A9754" t="str">
        <f>T("   392330")</f>
        <v xml:space="preserve">   392330</v>
      </c>
      <c r="B9754" t="str">
        <f>T("   Bonbonnes, bouteilles, flacons et articles simil. pour le transport ou l'emballage, en matières plastiques")</f>
        <v xml:space="preserve">   Bonbonnes, bouteilles, flacons et articles simil. pour le transport ou l'emballage, en matières plastiques</v>
      </c>
      <c r="C9754">
        <v>24033941</v>
      </c>
      <c r="D9754">
        <v>20023.88</v>
      </c>
    </row>
    <row r="9755" spans="1:4" x14ac:dyDescent="0.25">
      <c r="A9755" t="str">
        <f>T("   392390")</f>
        <v xml:space="preserve">   392390</v>
      </c>
      <c r="B9755" t="s">
        <v>156</v>
      </c>
      <c r="C9755">
        <v>3737308</v>
      </c>
      <c r="D9755">
        <v>19750</v>
      </c>
    </row>
    <row r="9756" spans="1:4" x14ac:dyDescent="0.25">
      <c r="A9756" t="str">
        <f>T("   392410")</f>
        <v xml:space="preserve">   392410</v>
      </c>
      <c r="B9756" t="str">
        <f>T("   Vaisselle et autres articles pour le service de la table ou de la cuisine, en matières plastiques")</f>
        <v xml:space="preserve">   Vaisselle et autres articles pour le service de la table ou de la cuisine, en matières plastiques</v>
      </c>
      <c r="C9756">
        <v>9756145</v>
      </c>
      <c r="D9756">
        <v>62724</v>
      </c>
    </row>
    <row r="9757" spans="1:4" x14ac:dyDescent="0.25">
      <c r="A9757" t="str">
        <f>T("   392490")</f>
        <v xml:space="preserve">   392490</v>
      </c>
      <c r="B9757" t="s">
        <v>157</v>
      </c>
      <c r="C9757">
        <v>12279364</v>
      </c>
      <c r="D9757">
        <v>27418</v>
      </c>
    </row>
    <row r="9758" spans="1:4" x14ac:dyDescent="0.25">
      <c r="A9758" t="str">
        <f>T("   392510")</f>
        <v xml:space="preserve">   392510</v>
      </c>
      <c r="B9758" t="str">
        <f>T("   Réservoirs, foudres, cuves et récipients analogues, en matières plastiques, d'une contenance &gt; 300 l")</f>
        <v xml:space="preserve">   Réservoirs, foudres, cuves et récipients analogues, en matières plastiques, d'une contenance &gt; 300 l</v>
      </c>
      <c r="C9758">
        <v>3830000</v>
      </c>
      <c r="D9758">
        <v>3260</v>
      </c>
    </row>
    <row r="9759" spans="1:4" x14ac:dyDescent="0.25">
      <c r="A9759" t="str">
        <f>T("   392610")</f>
        <v xml:space="preserve">   392610</v>
      </c>
      <c r="B9759" t="str">
        <f>T("   Articles de bureau et articles scolaires, en matières plastiques, n.d.a.")</f>
        <v xml:space="preserve">   Articles de bureau et articles scolaires, en matières plastiques, n.d.a.</v>
      </c>
      <c r="C9759">
        <v>648298</v>
      </c>
      <c r="D9759">
        <v>660</v>
      </c>
    </row>
    <row r="9760" spans="1:4" x14ac:dyDescent="0.25">
      <c r="A9760" t="str">
        <f>T("   392640")</f>
        <v xml:space="preserve">   392640</v>
      </c>
      <c r="B9760" t="str">
        <f>T("   Statuettes et autres objets d'ornementation, en matières plastiques")</f>
        <v xml:space="preserve">   Statuettes et autres objets d'ornementation, en matières plastiques</v>
      </c>
      <c r="C9760">
        <v>515761</v>
      </c>
      <c r="D9760">
        <v>1000</v>
      </c>
    </row>
    <row r="9761" spans="1:4" x14ac:dyDescent="0.25">
      <c r="A9761" t="str">
        <f>T("   392690")</f>
        <v xml:space="preserve">   392690</v>
      </c>
      <c r="B9761" t="str">
        <f>T("   Ouvrages en matières plastiques et ouvrages en autres matières du n° 3901 à 3914, n.d.a.")</f>
        <v xml:space="preserve">   Ouvrages en matières plastiques et ouvrages en autres matières du n° 3901 à 3914, n.d.a.</v>
      </c>
      <c r="C9761">
        <v>124473184</v>
      </c>
      <c r="D9761">
        <v>472064</v>
      </c>
    </row>
    <row r="9762" spans="1:4" x14ac:dyDescent="0.25">
      <c r="A9762" t="str">
        <f>T("   400811")</f>
        <v xml:space="preserve">   400811</v>
      </c>
      <c r="B9762" t="str">
        <f>T("   Plaques, feuilles et bandes, en caoutchouc alvéolaire non durci")</f>
        <v xml:space="preserve">   Plaques, feuilles et bandes, en caoutchouc alvéolaire non durci</v>
      </c>
      <c r="C9762">
        <v>3893048</v>
      </c>
      <c r="D9762">
        <v>77</v>
      </c>
    </row>
    <row r="9763" spans="1:4" x14ac:dyDescent="0.25">
      <c r="A9763" t="str">
        <f>T("   400821")</f>
        <v xml:space="preserve">   400821</v>
      </c>
      <c r="B9763" t="str">
        <f>T("   PLAQUES, FEUILLES ET BANDES, EN CAOUTCHOUC NON-ALVÉOLAIRE NON-DURCI")</f>
        <v xml:space="preserve">   PLAQUES, FEUILLES ET BANDES, EN CAOUTCHOUC NON-ALVÉOLAIRE NON-DURCI</v>
      </c>
      <c r="C9763">
        <v>1585454</v>
      </c>
      <c r="D9763">
        <v>4360</v>
      </c>
    </row>
    <row r="9764" spans="1:4" x14ac:dyDescent="0.25">
      <c r="A9764" t="str">
        <f>T("   401110")</f>
        <v xml:space="preserve">   401110</v>
      </c>
      <c r="B976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9764">
        <v>13398084</v>
      </c>
      <c r="D9764">
        <v>23966</v>
      </c>
    </row>
    <row r="9765" spans="1:4" x14ac:dyDescent="0.25">
      <c r="A9765" t="str">
        <f>T("   401120")</f>
        <v xml:space="preserve">   401120</v>
      </c>
      <c r="B976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765">
        <v>457823615</v>
      </c>
      <c r="D9765">
        <v>644423</v>
      </c>
    </row>
    <row r="9766" spans="1:4" x14ac:dyDescent="0.25">
      <c r="A9766" t="str">
        <f>T("   401140")</f>
        <v xml:space="preserve">   401140</v>
      </c>
      <c r="B9766" t="str">
        <f>T("   Pneumatiques neufs, en caoutchouc, des types utilisés pour les motocycles")</f>
        <v xml:space="preserve">   Pneumatiques neufs, en caoutchouc, des types utilisés pour les motocycles</v>
      </c>
      <c r="C9766">
        <v>55495193</v>
      </c>
      <c r="D9766">
        <v>267577</v>
      </c>
    </row>
    <row r="9767" spans="1:4" x14ac:dyDescent="0.25">
      <c r="A9767" t="str">
        <f>T("   401150")</f>
        <v xml:space="preserve">   401150</v>
      </c>
      <c r="B9767" t="str">
        <f>T("   Pneumatiques neufs, en caoutchouc, des types utilisés pour les bicyclettes")</f>
        <v xml:space="preserve">   Pneumatiques neufs, en caoutchouc, des types utilisés pour les bicyclettes</v>
      </c>
      <c r="C9767">
        <v>2005312</v>
      </c>
      <c r="D9767">
        <v>2047</v>
      </c>
    </row>
    <row r="9768" spans="1:4" x14ac:dyDescent="0.25">
      <c r="A9768" t="str">
        <f>T("   401199")</f>
        <v xml:space="preserve">   401199</v>
      </c>
      <c r="B9768" t="s">
        <v>165</v>
      </c>
      <c r="C9768">
        <v>10711815</v>
      </c>
      <c r="D9768">
        <v>31771</v>
      </c>
    </row>
    <row r="9769" spans="1:4" x14ac:dyDescent="0.25">
      <c r="A9769" t="str">
        <f>T("   401219")</f>
        <v xml:space="preserve">   401219</v>
      </c>
      <c r="B9769"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9769">
        <v>1500000</v>
      </c>
      <c r="D9769">
        <v>4015</v>
      </c>
    </row>
    <row r="9770" spans="1:4" x14ac:dyDescent="0.25">
      <c r="A9770" t="str">
        <f>T("   401220")</f>
        <v xml:space="preserve">   401220</v>
      </c>
      <c r="B9770" t="str">
        <f>T("   Pneumatiques usagés, en caoutchouc")</f>
        <v xml:space="preserve">   Pneumatiques usagés, en caoutchouc</v>
      </c>
      <c r="C9770">
        <v>1046529</v>
      </c>
      <c r="D9770">
        <v>3012</v>
      </c>
    </row>
    <row r="9771" spans="1:4" x14ac:dyDescent="0.25">
      <c r="A9771" t="str">
        <f>T("   401310")</f>
        <v xml:space="preserve">   401310</v>
      </c>
      <c r="B9771"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9771">
        <v>290910</v>
      </c>
      <c r="D9771">
        <v>1710</v>
      </c>
    </row>
    <row r="9772" spans="1:4" x14ac:dyDescent="0.25">
      <c r="A9772" t="str">
        <f>T("   401320")</f>
        <v xml:space="preserve">   401320</v>
      </c>
      <c r="B9772" t="str">
        <f>T("   Chambres à air, en caoutchouc, des types utilisés pour les bicyclettes")</f>
        <v xml:space="preserve">   Chambres à air, en caoutchouc, des types utilisés pour les bicyclettes</v>
      </c>
      <c r="C9772">
        <v>347263</v>
      </c>
      <c r="D9772">
        <v>285</v>
      </c>
    </row>
    <row r="9773" spans="1:4" x14ac:dyDescent="0.25">
      <c r="A9773" t="str">
        <f>T("   401390")</f>
        <v xml:space="preserve">   401390</v>
      </c>
      <c r="B9773"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9773">
        <v>61017899</v>
      </c>
      <c r="D9773">
        <v>414474</v>
      </c>
    </row>
    <row r="9774" spans="1:4" x14ac:dyDescent="0.25">
      <c r="A9774" t="str">
        <f>T("   401511")</f>
        <v xml:space="preserve">   401511</v>
      </c>
      <c r="B9774" t="str">
        <f>T("   Gants en caoutchouc vulcanisé non durci, pour la chirurgie")</f>
        <v xml:space="preserve">   Gants en caoutchouc vulcanisé non durci, pour la chirurgie</v>
      </c>
      <c r="C9774">
        <v>9626633</v>
      </c>
      <c r="D9774">
        <v>40200</v>
      </c>
    </row>
    <row r="9775" spans="1:4" x14ac:dyDescent="0.25">
      <c r="A9775" t="str">
        <f>T("   420211")</f>
        <v xml:space="preserve">   420211</v>
      </c>
      <c r="B9775"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9775">
        <v>1236920</v>
      </c>
      <c r="D9775">
        <v>2380</v>
      </c>
    </row>
    <row r="9776" spans="1:4" x14ac:dyDescent="0.25">
      <c r="A9776" t="str">
        <f>T("   420212")</f>
        <v xml:space="preserve">   420212</v>
      </c>
      <c r="B9776"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9776">
        <v>1310858</v>
      </c>
      <c r="D9776">
        <v>4346</v>
      </c>
    </row>
    <row r="9777" spans="1:4" x14ac:dyDescent="0.25">
      <c r="A9777" t="str">
        <f>T("   420219")</f>
        <v xml:space="preserve">   420219</v>
      </c>
      <c r="B9777" t="s">
        <v>171</v>
      </c>
      <c r="C9777">
        <v>7251997</v>
      </c>
      <c r="D9777">
        <v>29805</v>
      </c>
    </row>
    <row r="9778" spans="1:4" x14ac:dyDescent="0.25">
      <c r="A9778" t="str">
        <f>T("   420221")</f>
        <v xml:space="preserve">   420221</v>
      </c>
      <c r="B9778"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9778">
        <v>436920</v>
      </c>
      <c r="D9778">
        <v>1460</v>
      </c>
    </row>
    <row r="9779" spans="1:4" x14ac:dyDescent="0.25">
      <c r="A9779" t="str">
        <f>T("   420222")</f>
        <v xml:space="preserve">   420222</v>
      </c>
      <c r="B9779"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9779">
        <v>91791450</v>
      </c>
      <c r="D9779">
        <v>187262</v>
      </c>
    </row>
    <row r="9780" spans="1:4" x14ac:dyDescent="0.25">
      <c r="A9780" t="str">
        <f>T("   420229")</f>
        <v xml:space="preserve">   420229</v>
      </c>
      <c r="B978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780">
        <v>79553250</v>
      </c>
      <c r="D9780">
        <v>359665</v>
      </c>
    </row>
    <row r="9781" spans="1:4" x14ac:dyDescent="0.25">
      <c r="A9781" t="str">
        <f>T("   420232")</f>
        <v xml:space="preserve">   420232</v>
      </c>
      <c r="B9781"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9781">
        <v>393228</v>
      </c>
      <c r="D9781">
        <v>750</v>
      </c>
    </row>
    <row r="9782" spans="1:4" x14ac:dyDescent="0.25">
      <c r="A9782" t="str">
        <f>T("   420239")</f>
        <v xml:space="preserve">   420239</v>
      </c>
      <c r="B9782" t="s">
        <v>172</v>
      </c>
      <c r="C9782">
        <v>6968087</v>
      </c>
      <c r="D9782">
        <v>10410</v>
      </c>
    </row>
    <row r="9783" spans="1:4" x14ac:dyDescent="0.25">
      <c r="A9783" t="str">
        <f>T("   420291")</f>
        <v xml:space="preserve">   420291</v>
      </c>
      <c r="B9783" t="s">
        <v>173</v>
      </c>
      <c r="C9783">
        <v>1991000</v>
      </c>
      <c r="D9783">
        <v>5640</v>
      </c>
    </row>
    <row r="9784" spans="1:4" x14ac:dyDescent="0.25">
      <c r="A9784" t="str">
        <f>T("   420292")</f>
        <v xml:space="preserve">   420292</v>
      </c>
      <c r="B9784" t="s">
        <v>173</v>
      </c>
      <c r="C9784">
        <v>41054840</v>
      </c>
      <c r="D9784">
        <v>115655</v>
      </c>
    </row>
    <row r="9785" spans="1:4" x14ac:dyDescent="0.25">
      <c r="A9785" t="str">
        <f>T("   420299")</f>
        <v xml:space="preserve">   420299</v>
      </c>
      <c r="B9785" t="s">
        <v>174</v>
      </c>
      <c r="C9785">
        <v>27675143</v>
      </c>
      <c r="D9785">
        <v>118325</v>
      </c>
    </row>
    <row r="9786" spans="1:4" x14ac:dyDescent="0.25">
      <c r="A9786" t="str">
        <f>T("   420329")</f>
        <v xml:space="preserve">   420329</v>
      </c>
      <c r="B9786"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9786">
        <v>218459</v>
      </c>
      <c r="D9786">
        <v>300</v>
      </c>
    </row>
    <row r="9787" spans="1:4" x14ac:dyDescent="0.25">
      <c r="A9787" t="str">
        <f>T("   420330")</f>
        <v xml:space="preserve">   420330</v>
      </c>
      <c r="B9787" t="str">
        <f>T("   Ceintures, ceinturons et baudriers, en cuir naturel ou reconstitué")</f>
        <v xml:space="preserve">   Ceintures, ceinturons et baudriers, en cuir naturel ou reconstitué</v>
      </c>
      <c r="C9787">
        <v>221848</v>
      </c>
      <c r="D9787">
        <v>810</v>
      </c>
    </row>
    <row r="9788" spans="1:4" x14ac:dyDescent="0.25">
      <c r="A9788" t="str">
        <f>T("   440890")</f>
        <v xml:space="preserve">   440890</v>
      </c>
      <c r="B9788" t="s">
        <v>181</v>
      </c>
      <c r="C9788">
        <v>14760156</v>
      </c>
      <c r="D9788">
        <v>522220</v>
      </c>
    </row>
    <row r="9789" spans="1:4" x14ac:dyDescent="0.25">
      <c r="A9789" t="str">
        <f>T("   441090")</f>
        <v xml:space="preserve">   441090</v>
      </c>
      <c r="B9789" t="s">
        <v>184</v>
      </c>
      <c r="C9789">
        <v>3723520</v>
      </c>
      <c r="D9789">
        <v>5539</v>
      </c>
    </row>
    <row r="9790" spans="1:4" x14ac:dyDescent="0.25">
      <c r="A9790" t="str">
        <f>T("   441199")</f>
        <v xml:space="preserve">   441199</v>
      </c>
      <c r="B9790" t="s">
        <v>189</v>
      </c>
      <c r="C9790">
        <v>11930589</v>
      </c>
      <c r="D9790">
        <v>45240</v>
      </c>
    </row>
    <row r="9791" spans="1:4" x14ac:dyDescent="0.25">
      <c r="A9791" t="str">
        <f>T("   441229")</f>
        <v xml:space="preserve">   441229</v>
      </c>
      <c r="B9791" t="s">
        <v>194</v>
      </c>
      <c r="C9791">
        <v>26984221</v>
      </c>
      <c r="D9791">
        <v>98254</v>
      </c>
    </row>
    <row r="9792" spans="1:4" x14ac:dyDescent="0.25">
      <c r="A9792" t="str">
        <f>T("   441231")</f>
        <v xml:space="preserve">   441231</v>
      </c>
      <c r="B9792" t="s">
        <v>195</v>
      </c>
      <c r="C9792">
        <v>11000000</v>
      </c>
      <c r="D9792">
        <v>37820</v>
      </c>
    </row>
    <row r="9793" spans="1:4" x14ac:dyDescent="0.25">
      <c r="A9793" t="str">
        <f>T("   441239")</f>
        <v xml:space="preserve">   441239</v>
      </c>
      <c r="B9793" t="s">
        <v>197</v>
      </c>
      <c r="C9793">
        <v>93170234</v>
      </c>
      <c r="D9793">
        <v>403330</v>
      </c>
    </row>
    <row r="9794" spans="1:4" x14ac:dyDescent="0.25">
      <c r="A9794" t="str">
        <f>T("   441299")</f>
        <v xml:space="preserve">   441299</v>
      </c>
      <c r="B9794" t="s">
        <v>198</v>
      </c>
      <c r="C9794">
        <v>7526376</v>
      </c>
      <c r="D9794">
        <v>43980</v>
      </c>
    </row>
    <row r="9795" spans="1:4" x14ac:dyDescent="0.25">
      <c r="A9795" t="str">
        <f>T("   441400")</f>
        <v xml:space="preserve">   441400</v>
      </c>
      <c r="B9795" t="str">
        <f>T("   Cadres en bois pour tableaux, photographies, miroirs ou objets simil.")</f>
        <v xml:space="preserve">   Cadres en bois pour tableaux, photographies, miroirs ou objets simil.</v>
      </c>
      <c r="C9795">
        <v>59046</v>
      </c>
      <c r="D9795">
        <v>25</v>
      </c>
    </row>
    <row r="9796" spans="1:4" x14ac:dyDescent="0.25">
      <c r="A9796" t="str">
        <f>T("   441600")</f>
        <v xml:space="preserve">   441600</v>
      </c>
      <c r="B9796" t="str">
        <f>T("   Futailles, cuves, baquets et autres ouvrages de tonnellerie et leurs parties reconnaissables, en bois, y.c. les merrains")</f>
        <v xml:space="preserve">   Futailles, cuves, baquets et autres ouvrages de tonnellerie et leurs parties reconnaissables, en bois, y.c. les merrains</v>
      </c>
      <c r="C9796">
        <v>147601</v>
      </c>
      <c r="D9796">
        <v>380</v>
      </c>
    </row>
    <row r="9797" spans="1:4" x14ac:dyDescent="0.25">
      <c r="A9797" t="str">
        <f>T("   441820")</f>
        <v xml:space="preserve">   441820</v>
      </c>
      <c r="B9797" t="str">
        <f>T("   Portes et leurs cadres, chambranles et seuils, en bois")</f>
        <v xml:space="preserve">   Portes et leurs cadres, chambranles et seuils, en bois</v>
      </c>
      <c r="C9797">
        <v>2497004</v>
      </c>
      <c r="D9797">
        <v>21730</v>
      </c>
    </row>
    <row r="9798" spans="1:4" x14ac:dyDescent="0.25">
      <c r="A9798" t="str">
        <f>T("   441900")</f>
        <v xml:space="preserve">   441900</v>
      </c>
      <c r="B9798" t="s">
        <v>201</v>
      </c>
      <c r="C9798">
        <v>130620</v>
      </c>
      <c r="D9798">
        <v>80</v>
      </c>
    </row>
    <row r="9799" spans="1:4" x14ac:dyDescent="0.25">
      <c r="A9799" t="str">
        <f>T("   442010")</f>
        <v xml:space="preserve">   442010</v>
      </c>
      <c r="B9799" t="str">
        <f>T("   Statuettes et autres objets d'ornement, en bois (autres que marquetés ou incrustés)")</f>
        <v xml:space="preserve">   Statuettes et autres objets d'ornement, en bois (autres que marquetés ou incrustés)</v>
      </c>
      <c r="C9799">
        <v>19661</v>
      </c>
      <c r="D9799">
        <v>470</v>
      </c>
    </row>
    <row r="9800" spans="1:4" x14ac:dyDescent="0.25">
      <c r="A9800" t="str">
        <f>T("   442110")</f>
        <v xml:space="preserve">   442110</v>
      </c>
      <c r="B9800" t="str">
        <f>T("   Cintres pour vêtements, en bois")</f>
        <v xml:space="preserve">   Cintres pour vêtements, en bois</v>
      </c>
      <c r="C9800">
        <v>109230</v>
      </c>
      <c r="D9800">
        <v>230</v>
      </c>
    </row>
    <row r="9801" spans="1:4" x14ac:dyDescent="0.25">
      <c r="A9801" t="str">
        <f>T("   442190")</f>
        <v xml:space="preserve">   442190</v>
      </c>
      <c r="B9801" t="str">
        <f>T("   Ouvrages, en bois, n.d.a.")</f>
        <v xml:space="preserve">   Ouvrages, en bois, n.d.a.</v>
      </c>
      <c r="C9801">
        <v>73800</v>
      </c>
      <c r="D9801">
        <v>250</v>
      </c>
    </row>
    <row r="9802" spans="1:4" x14ac:dyDescent="0.25">
      <c r="A9802" t="str">
        <f>T("   460120")</f>
        <v xml:space="preserve">   460120</v>
      </c>
      <c r="B9802" t="str">
        <f>T("   Nattes, paillassons et claies en matières à tresser végétales, tissés ou parallélisés, à plat")</f>
        <v xml:space="preserve">   Nattes, paillassons et claies en matières à tresser végétales, tissés ou parallélisés, à plat</v>
      </c>
      <c r="C9802">
        <v>2000000</v>
      </c>
      <c r="D9802">
        <v>8500</v>
      </c>
    </row>
    <row r="9803" spans="1:4" x14ac:dyDescent="0.25">
      <c r="A9803" t="str">
        <f>T("   460129")</f>
        <v xml:space="preserve">   460129</v>
      </c>
      <c r="B9803" t="str">
        <f>T("   NATTES, PAILLASSONS ET CLAIES, EN MATIÈRES À TRESSER VÉGÉTALES, TISSÉS OU PARALLÉLISÉS, À PLAT (SAUF EN BAMBOU ET EN ROTIN)")</f>
        <v xml:space="preserve">   NATTES, PAILLASSONS ET CLAIES, EN MATIÈRES À TRESSER VÉGÉTALES, TISSÉS OU PARALLÉLISÉS, À PLAT (SAUF EN BAMBOU ET EN ROTIN)</v>
      </c>
      <c r="C9803">
        <v>2310970</v>
      </c>
      <c r="D9803">
        <v>53368</v>
      </c>
    </row>
    <row r="9804" spans="1:4" x14ac:dyDescent="0.25">
      <c r="A9804" t="str">
        <f>T("   460199")</f>
        <v xml:space="preserve">   460199</v>
      </c>
      <c r="B9804"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9804">
        <v>60620810</v>
      </c>
      <c r="D9804">
        <v>248596</v>
      </c>
    </row>
    <row r="9805" spans="1:4" x14ac:dyDescent="0.25">
      <c r="A9805" t="str">
        <f>T("   470790")</f>
        <v xml:space="preserve">   470790</v>
      </c>
      <c r="B9805" t="s">
        <v>204</v>
      </c>
      <c r="C9805">
        <v>1612300</v>
      </c>
      <c r="D9805">
        <v>25200</v>
      </c>
    </row>
    <row r="9806" spans="1:4" x14ac:dyDescent="0.25">
      <c r="A9806" t="str">
        <f>T("   480300")</f>
        <v xml:space="preserve">   480300</v>
      </c>
      <c r="B9806" t="s">
        <v>211</v>
      </c>
      <c r="C9806">
        <v>4834926</v>
      </c>
      <c r="D9806">
        <v>15000</v>
      </c>
    </row>
    <row r="9807" spans="1:4" x14ac:dyDescent="0.25">
      <c r="A9807" t="str">
        <f>T("   480439")</f>
        <v xml:space="preserve">   480439</v>
      </c>
      <c r="B9807" t="s">
        <v>213</v>
      </c>
      <c r="C9807">
        <v>429721</v>
      </c>
      <c r="D9807">
        <v>770</v>
      </c>
    </row>
    <row r="9808" spans="1:4" x14ac:dyDescent="0.25">
      <c r="A9808" t="str">
        <f>T("   480459")</f>
        <v xml:space="preserve">   480459</v>
      </c>
      <c r="B9808" t="s">
        <v>214</v>
      </c>
      <c r="C9808">
        <v>23920621</v>
      </c>
      <c r="D9808">
        <v>170328</v>
      </c>
    </row>
    <row r="9809" spans="1:4" x14ac:dyDescent="0.25">
      <c r="A9809" t="str">
        <f>T("   480519")</f>
        <v xml:space="preserve">   480519</v>
      </c>
      <c r="B9809" t="s">
        <v>215</v>
      </c>
      <c r="C9809">
        <v>3409561</v>
      </c>
      <c r="D9809">
        <v>23297</v>
      </c>
    </row>
    <row r="9810" spans="1:4" x14ac:dyDescent="0.25">
      <c r="A9810" t="str">
        <f>T("   481039")</f>
        <v xml:space="preserve">   481039</v>
      </c>
      <c r="B9810" t="s">
        <v>224</v>
      </c>
      <c r="C9810">
        <v>5405166</v>
      </c>
      <c r="D9810">
        <v>14200</v>
      </c>
    </row>
    <row r="9811" spans="1:4" x14ac:dyDescent="0.25">
      <c r="A9811" t="str">
        <f>T("   481099")</f>
        <v xml:space="preserve">   481099</v>
      </c>
      <c r="B9811" t="s">
        <v>225</v>
      </c>
      <c r="C9811">
        <v>6302423</v>
      </c>
      <c r="D9811">
        <v>45400</v>
      </c>
    </row>
    <row r="9812" spans="1:4" x14ac:dyDescent="0.25">
      <c r="A9812" t="str">
        <f>T("   481160")</f>
        <v xml:space="preserve">   481160</v>
      </c>
      <c r="B9812" t="str">
        <f>T("   Papiers et cartons enduits, imprégnés ou recouverts de cire, de paraffine, de stéarine, d'huile ou de glycérol, en rouleaux ou en feuilles de forme carrée ou rectangulaire, de tout format (à l'excl. des produits du n° 4803, 4809 ou 4818)")</f>
        <v xml:space="preserve">   Papiers et cartons enduits, imprégnés ou recouverts de cire, de paraffine, de stéarine, d'huile ou de glycérol, en rouleaux ou en feuilles de forme carrée ou rectangulaire, de tout format (à l'excl. des produits du n° 4803, 4809 ou 4818)</v>
      </c>
      <c r="C9812">
        <v>11812</v>
      </c>
      <c r="D9812">
        <v>15</v>
      </c>
    </row>
    <row r="9813" spans="1:4" x14ac:dyDescent="0.25">
      <c r="A9813" t="str">
        <f>T("   481190")</f>
        <v xml:space="preserve">   481190</v>
      </c>
      <c r="B9813" t="s">
        <v>228</v>
      </c>
      <c r="C9813">
        <v>433306</v>
      </c>
      <c r="D9813">
        <v>7</v>
      </c>
    </row>
    <row r="9814" spans="1:4" x14ac:dyDescent="0.25">
      <c r="A9814" t="str">
        <f>T("   481810")</f>
        <v xml:space="preserve">   481810</v>
      </c>
      <c r="B9814" t="str">
        <f>T("   Papier hygiénique, en rouleaux d'une largeur &lt;= 36 cm")</f>
        <v xml:space="preserve">   Papier hygiénique, en rouleaux d'une largeur &lt;= 36 cm</v>
      </c>
      <c r="C9814">
        <v>11807775</v>
      </c>
      <c r="D9814">
        <v>59584</v>
      </c>
    </row>
    <row r="9815" spans="1:4" x14ac:dyDescent="0.25">
      <c r="A9815" t="str">
        <f>T("   481820")</f>
        <v xml:space="preserve">   481820</v>
      </c>
      <c r="B981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9815">
        <v>2786456</v>
      </c>
      <c r="D9815">
        <v>14537</v>
      </c>
    </row>
    <row r="9816" spans="1:4" x14ac:dyDescent="0.25">
      <c r="A9816" t="str">
        <f>T("   481830")</f>
        <v xml:space="preserve">   481830</v>
      </c>
      <c r="B9816" t="str">
        <f>T("   Nappes et serviettes de table, en pâte à papier, papier, ouate de cellulose ou nappes de fibres de cellulose")</f>
        <v xml:space="preserve">   Nappes et serviettes de table, en pâte à papier, papier, ouate de cellulose ou nappes de fibres de cellulose</v>
      </c>
      <c r="C9816">
        <v>90000</v>
      </c>
      <c r="D9816">
        <v>300</v>
      </c>
    </row>
    <row r="9817" spans="1:4" x14ac:dyDescent="0.25">
      <c r="A9817" t="str">
        <f>T("   481840")</f>
        <v xml:space="preserve">   481840</v>
      </c>
      <c r="B981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9817">
        <v>57402182</v>
      </c>
      <c r="D9817">
        <v>222470</v>
      </c>
    </row>
    <row r="9818" spans="1:4" x14ac:dyDescent="0.25">
      <c r="A9818" t="str">
        <f>T("   481890")</f>
        <v xml:space="preserve">   481890</v>
      </c>
      <c r="B9818" t="s">
        <v>232</v>
      </c>
      <c r="C9818">
        <v>1791535</v>
      </c>
      <c r="D9818">
        <v>7200</v>
      </c>
    </row>
    <row r="9819" spans="1:4" x14ac:dyDescent="0.25">
      <c r="A9819" t="str">
        <f>T("   481910")</f>
        <v xml:space="preserve">   481910</v>
      </c>
      <c r="B9819" t="str">
        <f>T("   Boîtes et caisses en papier ou en carton ondulé")</f>
        <v xml:space="preserve">   Boîtes et caisses en papier ou en carton ondulé</v>
      </c>
      <c r="C9819">
        <v>59442549</v>
      </c>
      <c r="D9819">
        <v>148679.34</v>
      </c>
    </row>
    <row r="9820" spans="1:4" x14ac:dyDescent="0.25">
      <c r="A9820" t="str">
        <f>T("   481920")</f>
        <v xml:space="preserve">   481920</v>
      </c>
      <c r="B9820" t="str">
        <f>T("   Boîtes et cartonnages, pliants, en papier ou en carton non ondulé")</f>
        <v xml:space="preserve">   Boîtes et cartonnages, pliants, en papier ou en carton non ondulé</v>
      </c>
      <c r="C9820">
        <v>11265733</v>
      </c>
      <c r="D9820">
        <v>88805</v>
      </c>
    </row>
    <row r="9821" spans="1:4" x14ac:dyDescent="0.25">
      <c r="A9821" t="str">
        <f>T("   481930")</f>
        <v xml:space="preserve">   481930</v>
      </c>
      <c r="B9821" t="str">
        <f>T("   Sacs, en papier, carton, ouate de cellulose ou nappes de fibres de cellulose, d'une largeur à la base &gt;= 40 cm")</f>
        <v xml:space="preserve">   Sacs, en papier, carton, ouate de cellulose ou nappes de fibres de cellulose, d'une largeur à la base &gt;= 40 cm</v>
      </c>
      <c r="C9821">
        <v>37037707</v>
      </c>
      <c r="D9821">
        <v>42200</v>
      </c>
    </row>
    <row r="9822" spans="1:4" x14ac:dyDescent="0.25">
      <c r="A9822" t="str">
        <f>T("   481950")</f>
        <v xml:space="preserve">   481950</v>
      </c>
      <c r="B9822" t="s">
        <v>233</v>
      </c>
      <c r="C9822">
        <v>6262152</v>
      </c>
      <c r="D9822">
        <v>40240</v>
      </c>
    </row>
    <row r="9823" spans="1:4" x14ac:dyDescent="0.25">
      <c r="A9823" t="str">
        <f>T("   481960")</f>
        <v xml:space="preserve">   481960</v>
      </c>
      <c r="B9823" t="str">
        <f>T("   Cartonnages de bureau, de magasin ou simil., rigides (à l'excl. des emballages)")</f>
        <v xml:space="preserve">   Cartonnages de bureau, de magasin ou simil., rigides (à l'excl. des emballages)</v>
      </c>
      <c r="C9823">
        <v>342723019</v>
      </c>
      <c r="D9823">
        <v>605387</v>
      </c>
    </row>
    <row r="9824" spans="1:4" x14ac:dyDescent="0.25">
      <c r="A9824" t="str">
        <f>T("   482020")</f>
        <v xml:space="preserve">   482020</v>
      </c>
      <c r="B9824" t="str">
        <f>T("   Cahiers pour l'écriture, en papier ou carton")</f>
        <v xml:space="preserve">   Cahiers pour l'écriture, en papier ou carton</v>
      </c>
      <c r="C9824">
        <v>44216292</v>
      </c>
      <c r="D9824">
        <v>344133</v>
      </c>
    </row>
    <row r="9825" spans="1:4" x14ac:dyDescent="0.25">
      <c r="A9825" t="str">
        <f>T("   482030")</f>
        <v xml:space="preserve">   482030</v>
      </c>
      <c r="B9825" t="str">
        <f>T("   Classeurs, reliures (autres que les couvertures pour livres), chemises et couvertures à dossiers, en papier ou en carton")</f>
        <v xml:space="preserve">   Classeurs, reliures (autres que les couvertures pour livres), chemises et couvertures à dossiers, en papier ou en carton</v>
      </c>
      <c r="C9825">
        <v>74276</v>
      </c>
      <c r="D9825">
        <v>630</v>
      </c>
    </row>
    <row r="9826" spans="1:4" x14ac:dyDescent="0.25">
      <c r="A9826" t="str">
        <f>T("   482390")</f>
        <v xml:space="preserve">   482390</v>
      </c>
      <c r="B9826" t="s">
        <v>235</v>
      </c>
      <c r="C9826">
        <v>163845</v>
      </c>
      <c r="D9826">
        <v>336</v>
      </c>
    </row>
    <row r="9827" spans="1:4" x14ac:dyDescent="0.25">
      <c r="A9827" t="str">
        <f>T("   490199")</f>
        <v xml:space="preserve">   490199</v>
      </c>
      <c r="B982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827">
        <v>12824138</v>
      </c>
      <c r="D9827">
        <v>19950</v>
      </c>
    </row>
    <row r="9828" spans="1:4" x14ac:dyDescent="0.25">
      <c r="A9828" t="str">
        <f>T("   490700")</f>
        <v xml:space="preserve">   490700</v>
      </c>
      <c r="B9828" t="s">
        <v>237</v>
      </c>
      <c r="C9828">
        <v>11550722</v>
      </c>
      <c r="D9828">
        <v>4910</v>
      </c>
    </row>
    <row r="9829" spans="1:4" x14ac:dyDescent="0.25">
      <c r="A9829" t="str">
        <f>T("   491000")</f>
        <v xml:space="preserve">   491000</v>
      </c>
      <c r="B9829" t="str">
        <f>T("   Calendriers de tous genres, imprimés, y.c. les blocs de calendriers à effeuiller")</f>
        <v xml:space="preserve">   Calendriers de tous genres, imprimés, y.c. les blocs de calendriers à effeuiller</v>
      </c>
      <c r="C9829">
        <v>98307</v>
      </c>
      <c r="D9829">
        <v>1370</v>
      </c>
    </row>
    <row r="9830" spans="1:4" x14ac:dyDescent="0.25">
      <c r="A9830" t="str">
        <f>T("   491110")</f>
        <v xml:space="preserve">   491110</v>
      </c>
      <c r="B9830" t="str">
        <f>T("   Imprimés publicitaires, catalogues commerciaux et simil.")</f>
        <v xml:space="preserve">   Imprimés publicitaires, catalogues commerciaux et simil.</v>
      </c>
      <c r="C9830">
        <v>10240740</v>
      </c>
      <c r="D9830">
        <v>12893</v>
      </c>
    </row>
    <row r="9831" spans="1:4" x14ac:dyDescent="0.25">
      <c r="A9831" t="str">
        <f>T("   500790")</f>
        <v xml:space="preserve">   500790</v>
      </c>
      <c r="B9831"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9831">
        <v>3708438</v>
      </c>
      <c r="D9831">
        <v>6450</v>
      </c>
    </row>
    <row r="9832" spans="1:4" x14ac:dyDescent="0.25">
      <c r="A9832" t="str">
        <f>T("   510119")</f>
        <v xml:space="preserve">   510119</v>
      </c>
      <c r="B9832" t="str">
        <f>T("   Laines en suint, y.c. les laines lavées à dos, non cardées ni peignées (à l'excl. des laines de tonte)")</f>
        <v xml:space="preserve">   Laines en suint, y.c. les laines lavées à dos, non cardées ni peignées (à l'excl. des laines de tonte)</v>
      </c>
      <c r="C9832">
        <v>895246</v>
      </c>
      <c r="D9832">
        <v>1360</v>
      </c>
    </row>
    <row r="9833" spans="1:4" x14ac:dyDescent="0.25">
      <c r="A9833" t="str">
        <f>T("   511211")</f>
        <v xml:space="preserve">   511211</v>
      </c>
      <c r="B9833" t="str">
        <f>T("   Tissus de laine peignée ou de poils fins peignés, contenant &gt;= 85% en poids de laine ou de poils fins, d'un poids &lt;= 200 g/m²")</f>
        <v xml:space="preserve">   Tissus de laine peignée ou de poils fins peignés, contenant &gt;= 85% en poids de laine ou de poils fins, d'un poids &lt;= 200 g/m²</v>
      </c>
      <c r="C9833">
        <v>26636360</v>
      </c>
      <c r="D9833">
        <v>56796</v>
      </c>
    </row>
    <row r="9834" spans="1:4" x14ac:dyDescent="0.25">
      <c r="A9834" t="str">
        <f>T("   511230")</f>
        <v xml:space="preserve">   511230</v>
      </c>
      <c r="B9834" t="str">
        <f>T("   Tissus de laine peignée ou de poils fins peignés, contenant en prédominance, mais &lt; 85% en poids de laine ou de poils fins, mélangés principalement ou uniquement avec des fibres synthétiques ou artificielles discontinues")</f>
        <v xml:space="preserve">   Tissus de laine peignée ou de poils fins peignés, contenant en prédominance, mais &lt; 85% en poids de laine ou de poils fins, mélangés principalement ou uniquement avec des fibres synthétiques ou artificielles discontinues</v>
      </c>
      <c r="C9834">
        <v>638959</v>
      </c>
      <c r="D9834">
        <v>800</v>
      </c>
    </row>
    <row r="9835" spans="1:4" x14ac:dyDescent="0.25">
      <c r="A9835" t="str">
        <f>T("   511290")</f>
        <v xml:space="preserve">   511290</v>
      </c>
      <c r="B9835" t="s">
        <v>238</v>
      </c>
      <c r="C9835">
        <v>169898</v>
      </c>
      <c r="D9835">
        <v>1275</v>
      </c>
    </row>
    <row r="9836" spans="1:4" x14ac:dyDescent="0.25">
      <c r="A9836" t="str">
        <f>T("   511300")</f>
        <v xml:space="preserve">   511300</v>
      </c>
      <c r="B9836" t="str">
        <f>T("   Tissus de poils grossiers ou de crin (à l'excl. des tissus pour usages techniques du n° 5911)")</f>
        <v xml:space="preserve">   Tissus de poils grossiers ou de crin (à l'excl. des tissus pour usages techniques du n° 5911)</v>
      </c>
      <c r="C9836">
        <v>631240</v>
      </c>
      <c r="D9836">
        <v>2456</v>
      </c>
    </row>
    <row r="9837" spans="1:4" x14ac:dyDescent="0.25">
      <c r="A9837" t="str">
        <f>T("   520299")</f>
        <v xml:space="preserve">   520299</v>
      </c>
      <c r="B9837" t="str">
        <f>T("   Déchets de coton (à l'excl. des déchets de fils et des effilochés)")</f>
        <v xml:space="preserve">   Déchets de coton (à l'excl. des déchets de fils et des effilochés)</v>
      </c>
      <c r="C9837">
        <v>2374216</v>
      </c>
      <c r="D9837">
        <v>2100</v>
      </c>
    </row>
    <row r="9838" spans="1:4" x14ac:dyDescent="0.25">
      <c r="A9838" t="str">
        <f>T("   520300")</f>
        <v xml:space="preserve">   520300</v>
      </c>
      <c r="B9838" t="str">
        <f>T("   Coton, cardé ou peigné")</f>
        <v xml:space="preserve">   Coton, cardé ou peigné</v>
      </c>
      <c r="C9838">
        <v>3095159</v>
      </c>
      <c r="D9838">
        <v>5025</v>
      </c>
    </row>
    <row r="9839" spans="1:4" x14ac:dyDescent="0.25">
      <c r="A9839" t="str">
        <f>T("   520419")</f>
        <v xml:space="preserve">   520419</v>
      </c>
      <c r="B9839"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9839">
        <v>7972605</v>
      </c>
      <c r="D9839">
        <v>18220</v>
      </c>
    </row>
    <row r="9840" spans="1:4" x14ac:dyDescent="0.25">
      <c r="A9840" t="str">
        <f>T("   520420")</f>
        <v xml:space="preserve">   520420</v>
      </c>
      <c r="B9840" t="str">
        <f>T("   Fils à coudre de coton, conditionnés pour la vente au détail")</f>
        <v xml:space="preserve">   Fils à coudre de coton, conditionnés pour la vente au détail</v>
      </c>
      <c r="C9840">
        <v>2897458</v>
      </c>
      <c r="D9840">
        <v>11690</v>
      </c>
    </row>
    <row r="9841" spans="1:4" x14ac:dyDescent="0.25">
      <c r="A9841" t="str">
        <f>T("   520790")</f>
        <v xml:space="preserve">   520790</v>
      </c>
      <c r="B9841"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9841">
        <v>14400000</v>
      </c>
      <c r="D9841">
        <v>32700</v>
      </c>
    </row>
    <row r="9842" spans="1:4" x14ac:dyDescent="0.25">
      <c r="A9842" t="str">
        <f>T("   520829")</f>
        <v xml:space="preserve">   520829</v>
      </c>
      <c r="B9842"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9842">
        <v>896257898</v>
      </c>
      <c r="D9842">
        <v>1862380</v>
      </c>
    </row>
    <row r="9843" spans="1:4" x14ac:dyDescent="0.25">
      <c r="A9843" t="str">
        <f>T("   520849")</f>
        <v xml:space="preserve">   520849</v>
      </c>
      <c r="B9843"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9843">
        <v>595375000</v>
      </c>
      <c r="D9843">
        <v>1216620</v>
      </c>
    </row>
    <row r="9844" spans="1:4" x14ac:dyDescent="0.25">
      <c r="A9844" t="str">
        <f>T("   520851")</f>
        <v xml:space="preserve">   520851</v>
      </c>
      <c r="B9844" t="str">
        <f>T("   Tissus de coton, imprimés, à armure toile, contenant &gt;= 85% en poids de coton, d'un poids &lt;= 100 g/m²")</f>
        <v xml:space="preserve">   Tissus de coton, imprimés, à armure toile, contenant &gt;= 85% en poids de coton, d'un poids &lt;= 100 g/m²</v>
      </c>
      <c r="C9844">
        <v>21000000</v>
      </c>
      <c r="D9844">
        <v>37940</v>
      </c>
    </row>
    <row r="9845" spans="1:4" x14ac:dyDescent="0.25">
      <c r="A9845" t="str">
        <f>T("   520852")</f>
        <v xml:space="preserve">   520852</v>
      </c>
      <c r="B9845" t="str">
        <f>T("   Tissus de coton, imprimés, à armure toile, contenant &gt;= 85% en poids de coton, d'un poids &gt; 100 g/m² mais &lt;= 200 g/m²")</f>
        <v xml:space="preserve">   Tissus de coton, imprimés, à armure toile, contenant &gt;= 85% en poids de coton, d'un poids &gt; 100 g/m² mais &lt;= 200 g/m²</v>
      </c>
      <c r="C9845">
        <v>442416855</v>
      </c>
      <c r="D9845">
        <v>532235</v>
      </c>
    </row>
    <row r="9846" spans="1:4" x14ac:dyDescent="0.25">
      <c r="A9846" t="str">
        <f>T("   520859")</f>
        <v xml:space="preserve">   520859</v>
      </c>
      <c r="B9846" t="str">
        <f>T("   TISSUS DE COTON, IMPRIMÉS, CONTENANT &gt;= 85% EN POIDS DE COTON, D'UN POIDS &lt;= 200 G/M² (À L'EXCL. DES TISSUS À ARMURE TOILE)")</f>
        <v xml:space="preserve">   TISSUS DE COTON, IMPRIMÉS, CONTENANT &gt;= 85% EN POIDS DE COTON, D'UN POIDS &lt;= 200 G/M² (À L'EXCL. DES TISSUS À ARMURE TOILE)</v>
      </c>
      <c r="C9846">
        <v>13489956</v>
      </c>
      <c r="D9846">
        <v>27131</v>
      </c>
    </row>
    <row r="9847" spans="1:4" x14ac:dyDescent="0.25">
      <c r="A9847" t="str">
        <f>T("   520929")</f>
        <v xml:space="preserve">   520929</v>
      </c>
      <c r="B9847"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9847">
        <v>34997273</v>
      </c>
      <c r="D9847">
        <v>82058</v>
      </c>
    </row>
    <row r="9848" spans="1:4" x14ac:dyDescent="0.25">
      <c r="A9848" t="str">
        <f>T("   520949")</f>
        <v xml:space="preserve">   520949</v>
      </c>
      <c r="B9848" t="str">
        <f>T("   Tissus de coton, en fils de diverses couleurs, contenant &gt;= 85% en poids de coton, d'un poids &gt; 200 g/m² (à l'excl. des tissus dits 'denim' ainsi que des tissus à armure toile ou à armure sergé [y.c. le croisé] d'un rapport d'armure &lt;= 4)")</f>
        <v xml:space="preserve">   Tissus de coton, en fils de diverses couleurs, contenant &gt;= 85% en poids de coton, d'un poids &gt; 200 g/m² (à l'excl. des tissus dits 'denim' ainsi que des tissus à armure toile ou à armure sergé [y.c. le croisé] d'un rapport d'armure &lt;= 4)</v>
      </c>
      <c r="C9848">
        <v>6554</v>
      </c>
      <c r="D9848">
        <v>4</v>
      </c>
    </row>
    <row r="9849" spans="1:4" x14ac:dyDescent="0.25">
      <c r="A9849" t="str">
        <f>T("   520951")</f>
        <v xml:space="preserve">   520951</v>
      </c>
      <c r="B9849" t="str">
        <f>T("   Tissus de coton, imprimés, à armure toile, contenant &gt;= 85% en poids de coton, d'un poids &gt; 200 g/m²")</f>
        <v xml:space="preserve">   Tissus de coton, imprimés, à armure toile, contenant &gt;= 85% en poids de coton, d'un poids &gt; 200 g/m²</v>
      </c>
      <c r="C9849">
        <v>31480616</v>
      </c>
      <c r="D9849">
        <v>43295</v>
      </c>
    </row>
    <row r="9850" spans="1:4" x14ac:dyDescent="0.25">
      <c r="A9850" t="str">
        <f>T("   520959")</f>
        <v xml:space="preserve">   520959</v>
      </c>
      <c r="B9850"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9850">
        <v>550000</v>
      </c>
      <c r="D9850">
        <v>7809</v>
      </c>
    </row>
    <row r="9851" spans="1:4" x14ac:dyDescent="0.25">
      <c r="A9851" t="str">
        <f>T("   521139")</f>
        <v xml:space="preserve">   521139</v>
      </c>
      <c r="B9851" t="s">
        <v>241</v>
      </c>
      <c r="C9851">
        <v>25500000</v>
      </c>
      <c r="D9851">
        <v>42190</v>
      </c>
    </row>
    <row r="9852" spans="1:4" x14ac:dyDescent="0.25">
      <c r="A9852" t="str">
        <f>T("   521159")</f>
        <v xml:space="preserve">   521159</v>
      </c>
      <c r="B9852" t="s">
        <v>242</v>
      </c>
      <c r="C9852">
        <v>97238831</v>
      </c>
      <c r="D9852">
        <v>135695</v>
      </c>
    </row>
    <row r="9853" spans="1:4" x14ac:dyDescent="0.25">
      <c r="A9853" t="str">
        <f>T("   521211")</f>
        <v xml:space="preserve">   521211</v>
      </c>
      <c r="B9853"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9853">
        <v>3622143</v>
      </c>
      <c r="D9853">
        <v>10820</v>
      </c>
    </row>
    <row r="9854" spans="1:4" x14ac:dyDescent="0.25">
      <c r="A9854" t="str">
        <f>T("   521214")</f>
        <v xml:space="preserve">   521214</v>
      </c>
      <c r="B9854"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9854">
        <v>679411</v>
      </c>
      <c r="D9854">
        <v>965</v>
      </c>
    </row>
    <row r="9855" spans="1:4" x14ac:dyDescent="0.25">
      <c r="A9855" t="str">
        <f>T("   521215")</f>
        <v xml:space="preserve">   521215</v>
      </c>
      <c r="B9855"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9855">
        <v>51000000</v>
      </c>
      <c r="D9855">
        <v>73010</v>
      </c>
    </row>
    <row r="9856" spans="1:4" x14ac:dyDescent="0.25">
      <c r="A9856" t="str">
        <f>T("   530890")</f>
        <v xml:space="preserve">   530890</v>
      </c>
      <c r="B9856" t="str">
        <f>T("   Fils de fibres textiles végétales (à l'excl. des fils de coton, de lin, de coco, de chanvre, de jute ou d'autres fibres textiles libériennes du n° 5303)")</f>
        <v xml:space="preserve">   Fils de fibres textiles végétales (à l'excl. des fils de coton, de lin, de coco, de chanvre, de jute ou d'autres fibres textiles libériennes du n° 5303)</v>
      </c>
      <c r="C9856">
        <v>932650</v>
      </c>
      <c r="D9856">
        <v>1419</v>
      </c>
    </row>
    <row r="9857" spans="1:4" x14ac:dyDescent="0.25">
      <c r="A9857" t="str">
        <f>T("   530919")</f>
        <v xml:space="preserve">   530919</v>
      </c>
      <c r="B9857" t="str">
        <f>T("   Tissus de lin, contenant &gt;= 85% en poids de lin, teints ou en fils de diverses couleurs ou imprimés")</f>
        <v xml:space="preserve">   Tissus de lin, contenant &gt;= 85% en poids de lin, teints ou en fils de diverses couleurs ou imprimés</v>
      </c>
      <c r="C9857">
        <v>2631552</v>
      </c>
      <c r="D9857">
        <v>7695</v>
      </c>
    </row>
    <row r="9858" spans="1:4" x14ac:dyDescent="0.25">
      <c r="A9858" t="str">
        <f>T("   530929")</f>
        <v xml:space="preserve">   530929</v>
      </c>
      <c r="B9858" t="str">
        <f>T("   Tissus de lin, contenant en prédominance, mais &lt; 85% en poids de lin, teints ou en fils de diverses couleurs ou imprimés")</f>
        <v xml:space="preserve">   Tissus de lin, contenant en prédominance, mais &lt; 85% en poids de lin, teints ou en fils de diverses couleurs ou imprimés</v>
      </c>
      <c r="C9858">
        <v>1538361</v>
      </c>
      <c r="D9858">
        <v>8321</v>
      </c>
    </row>
    <row r="9859" spans="1:4" x14ac:dyDescent="0.25">
      <c r="A9859" t="str">
        <f>T("   531100")</f>
        <v xml:space="preserve">   531100</v>
      </c>
      <c r="B9859" t="str">
        <f>T("   Tissus de fibres textiles végétales (à l'excl. des tissus de coton, de lin, de jute ou d'autres fibres textiles libériennes du n° 5303); tissus de fils de papier")</f>
        <v xml:space="preserve">   Tissus de fibres textiles végétales (à l'excl. des tissus de coton, de lin, de jute ou d'autres fibres textiles libériennes du n° 5303); tissus de fils de papier</v>
      </c>
      <c r="C9859">
        <v>199133</v>
      </c>
      <c r="D9859">
        <v>829</v>
      </c>
    </row>
    <row r="9860" spans="1:4" x14ac:dyDescent="0.25">
      <c r="A9860" t="str">
        <f>T("   540251")</f>
        <v xml:space="preserve">   540251</v>
      </c>
      <c r="B9860" t="s">
        <v>243</v>
      </c>
      <c r="C9860">
        <v>118079</v>
      </c>
      <c r="D9860">
        <v>600</v>
      </c>
    </row>
    <row r="9861" spans="1:4" x14ac:dyDescent="0.25">
      <c r="A9861" t="str">
        <f>T("   540761")</f>
        <v xml:space="preserve">   540761</v>
      </c>
      <c r="B9861" t="str">
        <f>T("   TISSUS OBTENUS À PARTIR DE FILS CONTENANT &gt;= 85% EN POIDS DE FILAMENTS DE POLYESTER NON-TEXTURÉS, Y.C. LES TISSUS OBTENUS À PARTIR DES MONOFILAMENTS DU N° 5404")</f>
        <v xml:space="preserve">   TISSUS OBTENUS À PARTIR DE FILS CONTENANT &gt;= 85% EN POIDS DE FILAMENTS DE POLYESTER NON-TEXTURÉS, Y.C. LES TISSUS OBTENUS À PARTIR DES MONOFILAMENTS DU N° 5404</v>
      </c>
      <c r="C9861">
        <v>12000000</v>
      </c>
      <c r="D9861">
        <v>38900</v>
      </c>
    </row>
    <row r="9862" spans="1:4" x14ac:dyDescent="0.25">
      <c r="A9862" t="str">
        <f>T("   540831")</f>
        <v xml:space="preserve">   540831</v>
      </c>
      <c r="B9862" t="s">
        <v>246</v>
      </c>
      <c r="C9862">
        <v>650000</v>
      </c>
      <c r="D9862">
        <v>990</v>
      </c>
    </row>
    <row r="9863" spans="1:4" x14ac:dyDescent="0.25">
      <c r="A9863" t="str">
        <f>T("   540834")</f>
        <v xml:space="preserve">   540834</v>
      </c>
      <c r="B9863" t="s">
        <v>247</v>
      </c>
      <c r="C9863">
        <v>59500000</v>
      </c>
      <c r="D9863">
        <v>95300</v>
      </c>
    </row>
    <row r="9864" spans="1:4" x14ac:dyDescent="0.25">
      <c r="A9864" t="str">
        <f>T("   550110")</f>
        <v xml:space="preserve">   550110</v>
      </c>
      <c r="B9864" t="str">
        <f>T("   Câbles de filaments de nylon ou d'autres polyamides, tels que définis dans la note 1 du présent chapitre")</f>
        <v xml:space="preserve">   Câbles de filaments de nylon ou d'autres polyamides, tels que définis dans la note 1 du présent chapitre</v>
      </c>
      <c r="C9864">
        <v>81474</v>
      </c>
      <c r="D9864">
        <v>345</v>
      </c>
    </row>
    <row r="9865" spans="1:4" x14ac:dyDescent="0.25">
      <c r="A9865" t="str">
        <f>T("   550190")</f>
        <v xml:space="preserve">   550190</v>
      </c>
      <c r="B9865" t="str">
        <f>T("   Câbles de filaments synthétiques, tels que définis dans la note 1 du présent chapitre (à l'excl. des câbles de filaments acryliques ou modacryliques ou de filaments de polyesters, de nylon ou d'autres polyamides)")</f>
        <v xml:space="preserve">   Câbles de filaments synthétiques, tels que définis dans la note 1 du présent chapitre (à l'excl. des câbles de filaments acryliques ou modacryliques ou de filaments de polyesters, de nylon ou d'autres polyamides)</v>
      </c>
      <c r="C9865">
        <v>1105000</v>
      </c>
      <c r="D9865">
        <v>5250</v>
      </c>
    </row>
    <row r="9866" spans="1:4" x14ac:dyDescent="0.25">
      <c r="A9866" t="str">
        <f>T("   550319")</f>
        <v xml:space="preserve">   550319</v>
      </c>
      <c r="B9866" t="str">
        <f>T("   FIBRES DISCONTINUES DE NYLON OU D'AUTRES POLYAMIDES, NON-CARDÉES NI PEIGNÉES NI AUTREMENT TRANSFORMÉES POUR LA FILATURE (À L'EXCL. DES FIBRES D'ARAMIDES)")</f>
        <v xml:space="preserve">   FIBRES DISCONTINUES DE NYLON OU D'AUTRES POLYAMIDES, NON-CARDÉES NI PEIGNÉES NI AUTREMENT TRANSFORMÉES POUR LA FILATURE (À L'EXCL. DES FIBRES D'ARAMIDES)</v>
      </c>
      <c r="C9866">
        <v>848075</v>
      </c>
      <c r="D9866">
        <v>1450</v>
      </c>
    </row>
    <row r="9867" spans="1:4" x14ac:dyDescent="0.25">
      <c r="A9867" t="str">
        <f>T("   550690")</f>
        <v xml:space="preserve">   550690</v>
      </c>
      <c r="B9867" t="str">
        <f>T("   Fibres synthétiques discontinues, cardées, peignées ou autrement transformées pour la filature (à l'excl. des fibres acryliques ou modacryliques ainsi que des fibres de polyesters, de nylon ou d'autres polyamides)")</f>
        <v xml:space="preserve">   Fibres synthétiques discontinues, cardées, peignées ou autrement transformées pour la filature (à l'excl. des fibres acryliques ou modacryliques ainsi que des fibres de polyesters, de nylon ou d'autres polyamides)</v>
      </c>
      <c r="C9867">
        <v>378877</v>
      </c>
      <c r="D9867">
        <v>2800</v>
      </c>
    </row>
    <row r="9868" spans="1:4" x14ac:dyDescent="0.25">
      <c r="A9868" t="str">
        <f>T("   550810")</f>
        <v xml:space="preserve">   550810</v>
      </c>
      <c r="B9868" t="str">
        <f>T("   Fils à coudre de fibres synthétiques discontinues, même conditionnés pour la vente au détail")</f>
        <v xml:space="preserve">   Fils à coudre de fibres synthétiques discontinues, même conditionnés pour la vente au détail</v>
      </c>
      <c r="C9868">
        <v>21620664</v>
      </c>
      <c r="D9868">
        <v>32100</v>
      </c>
    </row>
    <row r="9869" spans="1:4" x14ac:dyDescent="0.25">
      <c r="A9869" t="str">
        <f>T("   550820")</f>
        <v xml:space="preserve">   550820</v>
      </c>
      <c r="B9869" t="str">
        <f>T("   Fils à coudre de fibres artificielles discontinues, même conditionnés pour la vente au détail")</f>
        <v xml:space="preserve">   Fils à coudre de fibres artificielles discontinues, même conditionnés pour la vente au détail</v>
      </c>
      <c r="C9869">
        <v>1981056</v>
      </c>
      <c r="D9869">
        <v>1468</v>
      </c>
    </row>
    <row r="9870" spans="1:4" x14ac:dyDescent="0.25">
      <c r="A9870" t="str">
        <f>T("   550911")</f>
        <v xml:space="preserve">   550911</v>
      </c>
      <c r="B9870" t="str">
        <f>T("   Fils simples, contenant &gt;= 85% en poids de fibres discontinues de nylon ou d'autres polyamides, non conditionnés pour la vente au détail (à l'excl. des fils à coudre)")</f>
        <v xml:space="preserve">   Fils simples, contenant &gt;= 85% en poids de fibres discontinues de nylon ou d'autres polyamides, non conditionnés pour la vente au détail (à l'excl. des fils à coudre)</v>
      </c>
      <c r="C9870">
        <v>3425282</v>
      </c>
      <c r="D9870">
        <v>5278</v>
      </c>
    </row>
    <row r="9871" spans="1:4" x14ac:dyDescent="0.25">
      <c r="A9871" t="str">
        <f>T("   550959")</f>
        <v xml:space="preserve">   550959</v>
      </c>
      <c r="B9871" t="s">
        <v>248</v>
      </c>
      <c r="C9871">
        <v>1905315</v>
      </c>
      <c r="D9871">
        <v>4290</v>
      </c>
    </row>
    <row r="9872" spans="1:4" x14ac:dyDescent="0.25">
      <c r="A9872" t="str">
        <f>T("   551211")</f>
        <v xml:space="preserve">   551211</v>
      </c>
      <c r="B9872" t="str">
        <f>T("   Tissus, écrus ou blanchis, de fibres discontinues de polyester, contenant &gt;= 85% en poids de ces fibres")</f>
        <v xml:space="preserve">   Tissus, écrus ou blanchis, de fibres discontinues de polyester, contenant &gt;= 85% en poids de ces fibres</v>
      </c>
      <c r="C9872">
        <v>1916144</v>
      </c>
      <c r="D9872">
        <v>3230</v>
      </c>
    </row>
    <row r="9873" spans="1:4" x14ac:dyDescent="0.25">
      <c r="A9873" t="str">
        <f>T("   551219")</f>
        <v xml:space="preserve">   551219</v>
      </c>
      <c r="B9873"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9873">
        <v>76305766</v>
      </c>
      <c r="D9873">
        <v>136356</v>
      </c>
    </row>
    <row r="9874" spans="1:4" x14ac:dyDescent="0.25">
      <c r="A9874" t="str">
        <f>T("   551221")</f>
        <v xml:space="preserve">   551221</v>
      </c>
      <c r="B9874" t="str">
        <f>T("   Tissus, écrus ou blanchis, de fibres discontinues acryliques ou modacryliques, contenant &gt;= 85% en poids de ces fibres")</f>
        <v xml:space="preserve">   Tissus, écrus ou blanchis, de fibres discontinues acryliques ou modacryliques, contenant &gt;= 85% en poids de ces fibres</v>
      </c>
      <c r="C9874">
        <v>700000</v>
      </c>
      <c r="D9874">
        <v>910</v>
      </c>
    </row>
    <row r="9875" spans="1:4" x14ac:dyDescent="0.25">
      <c r="A9875" t="str">
        <f>T("   551299")</f>
        <v xml:space="preserve">   551299</v>
      </c>
      <c r="B9875"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9875">
        <v>281253</v>
      </c>
      <c r="D9875">
        <v>1335</v>
      </c>
    </row>
    <row r="9876" spans="1:4" x14ac:dyDescent="0.25">
      <c r="A9876" t="str">
        <f>T("   551313")</f>
        <v xml:space="preserve">   551313</v>
      </c>
      <c r="B9876" t="s">
        <v>249</v>
      </c>
      <c r="C9876">
        <v>418407700</v>
      </c>
      <c r="D9876">
        <v>840451</v>
      </c>
    </row>
    <row r="9877" spans="1:4" x14ac:dyDescent="0.25">
      <c r="A9877" t="str">
        <f>T("   551319")</f>
        <v xml:space="preserve">   551319</v>
      </c>
      <c r="B9877" t="s">
        <v>250</v>
      </c>
      <c r="C9877">
        <v>31930929</v>
      </c>
      <c r="D9877">
        <v>87900</v>
      </c>
    </row>
    <row r="9878" spans="1:4" x14ac:dyDescent="0.25">
      <c r="A9878" t="str">
        <f>T("   551512")</f>
        <v xml:space="preserve">   551512</v>
      </c>
      <c r="B9878" t="str">
        <f>T("   Tissus de fibres discontinues de polyester, contenant en prédominance, mais &lt; 85% en poids de ces fibres, mélangés principalement ou uniquement avec des filaments synthétiques ou artificiels")</f>
        <v xml:space="preserve">   Tissus de fibres discontinues de polyester, contenant en prédominance, mais &lt; 85% en poids de ces fibres, mélangés principalement ou uniquement avec des filaments synthétiques ou artificiels</v>
      </c>
      <c r="C9878">
        <v>101000000</v>
      </c>
      <c r="D9878">
        <v>235000</v>
      </c>
    </row>
    <row r="9879" spans="1:4" x14ac:dyDescent="0.25">
      <c r="A9879" t="str">
        <f>T("   551519")</f>
        <v xml:space="preserve">   551519</v>
      </c>
      <c r="B9879" t="s">
        <v>254</v>
      </c>
      <c r="C9879">
        <v>131885000</v>
      </c>
      <c r="D9879">
        <v>244650</v>
      </c>
    </row>
    <row r="9880" spans="1:4" x14ac:dyDescent="0.25">
      <c r="A9880" t="str">
        <f>T("   551529")</f>
        <v xml:space="preserve">   551529</v>
      </c>
      <c r="B9880" t="s">
        <v>255</v>
      </c>
      <c r="C9880">
        <v>5500000</v>
      </c>
      <c r="D9880">
        <v>6100</v>
      </c>
    </row>
    <row r="9881" spans="1:4" x14ac:dyDescent="0.25">
      <c r="A9881" t="str">
        <f>T("   551591")</f>
        <v xml:space="preserve">   551591</v>
      </c>
      <c r="B9881" t="s">
        <v>256</v>
      </c>
      <c r="C9881">
        <v>81125000</v>
      </c>
      <c r="D9881">
        <v>206420</v>
      </c>
    </row>
    <row r="9882" spans="1:4" x14ac:dyDescent="0.25">
      <c r="A9882" t="str">
        <f>T("   551599")</f>
        <v xml:space="preserve">   551599</v>
      </c>
      <c r="B9882" t="s">
        <v>257</v>
      </c>
      <c r="C9882">
        <v>204104979</v>
      </c>
      <c r="D9882">
        <v>515472</v>
      </c>
    </row>
    <row r="9883" spans="1:4" x14ac:dyDescent="0.25">
      <c r="A9883" t="str">
        <f>T("   551611")</f>
        <v xml:space="preserve">   551611</v>
      </c>
      <c r="B9883" t="str">
        <f>T("   Tissus, écrus ou blanchis, de fibres artificielles discontinues, contenant &gt;= 85% en poids de ces fibres")</f>
        <v xml:space="preserve">   Tissus, écrus ou blanchis, de fibres artificielles discontinues, contenant &gt;= 85% en poids de ces fibres</v>
      </c>
      <c r="C9883">
        <v>7000000</v>
      </c>
      <c r="D9883">
        <v>17710</v>
      </c>
    </row>
    <row r="9884" spans="1:4" x14ac:dyDescent="0.25">
      <c r="A9884" t="str">
        <f>T("   551612")</f>
        <v xml:space="preserve">   551612</v>
      </c>
      <c r="B9884" t="str">
        <f>T("   Tissus, teints, de fibres artificielles discontinues, contenant &gt;= 85% en poids de ces fibres")</f>
        <v xml:space="preserve">   Tissus, teints, de fibres artificielles discontinues, contenant &gt;= 85% en poids de ces fibres</v>
      </c>
      <c r="C9884">
        <v>5000000</v>
      </c>
      <c r="D9884">
        <v>11200</v>
      </c>
    </row>
    <row r="9885" spans="1:4" x14ac:dyDescent="0.25">
      <c r="A9885" t="str">
        <f>T("   551634")</f>
        <v xml:space="preserve">   551634</v>
      </c>
      <c r="B9885" t="str">
        <f>T("   Tissus, imprimés, de fibres artificielles discontinues, contenant en prédominance, mais &lt; 85% en poids de ces fibres, mélangés principalement ou uniquement avec de la laine ou des poils fins")</f>
        <v xml:space="preserve">   Tissus, imprimés, de fibres artificielles discontinues, contenant en prédominance, mais &lt; 85% en poids de ces fibres, mélangés principalement ou uniquement avec de la laine ou des poils fins</v>
      </c>
      <c r="C9885">
        <v>15000000</v>
      </c>
      <c r="D9885">
        <v>34740</v>
      </c>
    </row>
    <row r="9886" spans="1:4" x14ac:dyDescent="0.25">
      <c r="A9886" t="str">
        <f>T("   560110")</f>
        <v xml:space="preserve">   560110</v>
      </c>
      <c r="B9886" t="str">
        <f>T("   Serviettes et tampons hygiéniques, couches pour bébés et articles hygiéniques simil., en ouates")</f>
        <v xml:space="preserve">   Serviettes et tampons hygiéniques, couches pour bébés et articles hygiéniques simil., en ouates</v>
      </c>
      <c r="C9886">
        <v>21644833</v>
      </c>
      <c r="D9886">
        <v>61533</v>
      </c>
    </row>
    <row r="9887" spans="1:4" x14ac:dyDescent="0.25">
      <c r="A9887" t="str">
        <f>T("   560121")</f>
        <v xml:space="preserve">   560121</v>
      </c>
      <c r="B9887" t="s">
        <v>259</v>
      </c>
      <c r="C9887">
        <v>650000</v>
      </c>
      <c r="D9887">
        <v>1620</v>
      </c>
    </row>
    <row r="9888" spans="1:4" x14ac:dyDescent="0.25">
      <c r="A9888" t="str">
        <f>T("   560122")</f>
        <v xml:space="preserve">   560122</v>
      </c>
      <c r="B9888" t="s">
        <v>260</v>
      </c>
      <c r="C9888">
        <v>10500000</v>
      </c>
      <c r="D9888">
        <v>26480</v>
      </c>
    </row>
    <row r="9889" spans="1:4" x14ac:dyDescent="0.25">
      <c r="A9889" t="str">
        <f>T("   560129")</f>
        <v xml:space="preserve">   560129</v>
      </c>
      <c r="B9889" t="s">
        <v>261</v>
      </c>
      <c r="C9889">
        <v>12603107</v>
      </c>
      <c r="D9889">
        <v>42245</v>
      </c>
    </row>
    <row r="9890" spans="1:4" x14ac:dyDescent="0.25">
      <c r="A9890" t="str">
        <f>T("   560749")</f>
        <v xml:space="preserve">   560749</v>
      </c>
      <c r="B9890"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9890">
        <v>7377</v>
      </c>
      <c r="D9890">
        <v>40</v>
      </c>
    </row>
    <row r="9891" spans="1:4" x14ac:dyDescent="0.25">
      <c r="A9891" t="str">
        <f>T("   560790")</f>
        <v xml:space="preserve">   560790</v>
      </c>
      <c r="B9891"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9891">
        <v>2891521</v>
      </c>
      <c r="D9891">
        <v>5760</v>
      </c>
    </row>
    <row r="9892" spans="1:4" x14ac:dyDescent="0.25">
      <c r="A9892" t="str">
        <f>T("   560811")</f>
        <v xml:space="preserve">   560811</v>
      </c>
      <c r="B9892"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9892">
        <v>18301020</v>
      </c>
      <c r="D9892">
        <v>85515</v>
      </c>
    </row>
    <row r="9893" spans="1:4" x14ac:dyDescent="0.25">
      <c r="A9893" t="str">
        <f>T("   560819")</f>
        <v xml:space="preserve">   560819</v>
      </c>
      <c r="B9893" t="s">
        <v>262</v>
      </c>
      <c r="C9893">
        <v>9367500</v>
      </c>
      <c r="D9893">
        <v>94310</v>
      </c>
    </row>
    <row r="9894" spans="1:4" x14ac:dyDescent="0.25">
      <c r="A9894" t="str">
        <f>T("   560890")</f>
        <v xml:space="preserve">   560890</v>
      </c>
      <c r="B9894" t="s">
        <v>263</v>
      </c>
      <c r="C9894">
        <v>1895000</v>
      </c>
      <c r="D9894">
        <v>10490</v>
      </c>
    </row>
    <row r="9895" spans="1:4" x14ac:dyDescent="0.25">
      <c r="A9895" t="str">
        <f>T("   560900")</f>
        <v xml:space="preserve">   560900</v>
      </c>
      <c r="B9895" t="str">
        <f>T("   Articles en fils, lames ou formes simil. du n° 5404 ou 5405, ficelles, cordes ou cordages du n° 5607, n.d.a.")</f>
        <v xml:space="preserve">   Articles en fils, lames ou formes simil. du n° 5404 ou 5405, ficelles, cordes ou cordages du n° 5607, n.d.a.</v>
      </c>
      <c r="C9895">
        <v>323844</v>
      </c>
      <c r="D9895">
        <v>1678</v>
      </c>
    </row>
    <row r="9896" spans="1:4" x14ac:dyDescent="0.25">
      <c r="A9896" t="str">
        <f>T("   570110")</f>
        <v xml:space="preserve">   570110</v>
      </c>
      <c r="B9896" t="str">
        <f>T("   Tapis de laine ou de poils fins, à points noués ou enroulés, même confectionnés")</f>
        <v xml:space="preserve">   Tapis de laine ou de poils fins, à points noués ou enroulés, même confectionnés</v>
      </c>
      <c r="C9896">
        <v>32769</v>
      </c>
      <c r="D9896">
        <v>100</v>
      </c>
    </row>
    <row r="9897" spans="1:4" x14ac:dyDescent="0.25">
      <c r="A9897" t="str">
        <f>T("   570190")</f>
        <v xml:space="preserve">   570190</v>
      </c>
      <c r="B9897"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9897">
        <v>163845</v>
      </c>
      <c r="D9897">
        <v>940</v>
      </c>
    </row>
    <row r="9898" spans="1:4" x14ac:dyDescent="0.25">
      <c r="A9898" t="str">
        <f>T("   570291")</f>
        <v xml:space="preserve">   570291</v>
      </c>
      <c r="B9898" t="str">
        <f>T("   Tapis et autres revêtements de sol, de laine ou de poils fins, tissés, non touffetés ni floqués, sans velours, confectionnés (à l'excl. des tapis dits 'kelim', 'kilim', 'schumacks', 'soumak' ou 'karamanie' et des tapis simil. tissés à la main)")</f>
        <v xml:space="preserve">   Tapis et autres revêtements de sol, de laine ou de poils fins, tissés, non touffetés ni floqués, sans velours, confectionnés (à l'excl. des tapis dits 'kelim', 'kilim', 'schumacks', 'soumak' ou 'karamanie' et des tapis simil. tissés à la main)</v>
      </c>
      <c r="C9898">
        <v>76461</v>
      </c>
      <c r="D9898">
        <v>400</v>
      </c>
    </row>
    <row r="9899" spans="1:4" x14ac:dyDescent="0.25">
      <c r="A9899" t="str">
        <f>T("   570299")</f>
        <v xml:space="preserve">   570299</v>
      </c>
      <c r="B9899" t="s">
        <v>267</v>
      </c>
      <c r="C9899">
        <v>65538</v>
      </c>
      <c r="D9899">
        <v>320</v>
      </c>
    </row>
    <row r="9900" spans="1:4" x14ac:dyDescent="0.25">
      <c r="A9900" t="str">
        <f>T("   570500")</f>
        <v xml:space="preserve">   570500</v>
      </c>
      <c r="B9900"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9900">
        <v>2043692</v>
      </c>
      <c r="D9900">
        <v>20020</v>
      </c>
    </row>
    <row r="9901" spans="1:4" x14ac:dyDescent="0.25">
      <c r="A9901" t="str">
        <f>T("   580410")</f>
        <v xml:space="preserve">   580410</v>
      </c>
      <c r="B9901" t="str">
        <f>T("   Tulles, tulles-bobinots et tissus à mailles nouées")</f>
        <v xml:space="preserve">   Tulles, tulles-bobinots et tissus à mailles nouées</v>
      </c>
      <c r="C9901">
        <v>15000000</v>
      </c>
      <c r="D9901">
        <v>26010</v>
      </c>
    </row>
    <row r="9902" spans="1:4" x14ac:dyDescent="0.25">
      <c r="A9902" t="str">
        <f>T("   580429")</f>
        <v xml:space="preserve">   580429</v>
      </c>
      <c r="B9902"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9902">
        <v>5200000</v>
      </c>
      <c r="D9902">
        <v>14360</v>
      </c>
    </row>
    <row r="9903" spans="1:4" x14ac:dyDescent="0.25">
      <c r="A9903" t="str">
        <f>T("   580632")</f>
        <v xml:space="preserve">   580632</v>
      </c>
      <c r="B9903" t="str">
        <f>T("   RUBANERIE, TISSÉE, DE FIBRES SYNTHÉTIQUES OU ARTIFICIELLES, D'UNE LARGEUR &lt;= 30 CM, N.D.A.")</f>
        <v xml:space="preserve">   RUBANERIE, TISSÉE, DE FIBRES SYNTHÉTIQUES OU ARTIFICIELLES, D'UNE LARGEUR &lt;= 30 CM, N.D.A.</v>
      </c>
      <c r="C9903">
        <v>54615</v>
      </c>
      <c r="D9903">
        <v>20</v>
      </c>
    </row>
    <row r="9904" spans="1:4" x14ac:dyDescent="0.25">
      <c r="A9904" t="str">
        <f>T("   580790")</f>
        <v xml:space="preserve">   580790</v>
      </c>
      <c r="B9904"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9904">
        <v>1063029</v>
      </c>
      <c r="D9904">
        <v>21</v>
      </c>
    </row>
    <row r="9905" spans="1:4" x14ac:dyDescent="0.25">
      <c r="A9905" t="str">
        <f>T("   581091")</f>
        <v xml:space="preserve">   581091</v>
      </c>
      <c r="B9905"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9905">
        <v>7000000</v>
      </c>
      <c r="D9905">
        <v>9200</v>
      </c>
    </row>
    <row r="9906" spans="1:4" x14ac:dyDescent="0.25">
      <c r="A9906" t="str">
        <f>T("   581092")</f>
        <v xml:space="preserve">   581092</v>
      </c>
      <c r="B9906"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9906">
        <v>29162197</v>
      </c>
      <c r="D9906">
        <v>52281</v>
      </c>
    </row>
    <row r="9907" spans="1:4" x14ac:dyDescent="0.25">
      <c r="A9907" t="str">
        <f>T("   581099")</f>
        <v xml:space="preserve">   581099</v>
      </c>
      <c r="B9907"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9907">
        <v>389365759</v>
      </c>
      <c r="D9907">
        <v>695265</v>
      </c>
    </row>
    <row r="9908" spans="1:4" x14ac:dyDescent="0.25">
      <c r="A9908" t="str">
        <f>T("   590190")</f>
        <v xml:space="preserve">   590190</v>
      </c>
      <c r="B9908"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9908">
        <v>59500000</v>
      </c>
      <c r="D9908">
        <v>110320</v>
      </c>
    </row>
    <row r="9909" spans="1:4" x14ac:dyDescent="0.25">
      <c r="A9909" t="str">
        <f>T("   590699")</f>
        <v xml:space="preserve">   590699</v>
      </c>
      <c r="B9909" t="s">
        <v>271</v>
      </c>
      <c r="C9909">
        <v>895781</v>
      </c>
      <c r="D9909">
        <v>1200</v>
      </c>
    </row>
    <row r="9910" spans="1:4" x14ac:dyDescent="0.25">
      <c r="A9910" t="str">
        <f>T("   590700")</f>
        <v xml:space="preserve">   590700</v>
      </c>
      <c r="B9910"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9910">
        <v>34941</v>
      </c>
      <c r="D9910">
        <v>231</v>
      </c>
    </row>
    <row r="9911" spans="1:4" x14ac:dyDescent="0.25">
      <c r="A9911" t="str">
        <f>T("   590800")</f>
        <v xml:space="preserve">   590800</v>
      </c>
      <c r="B9911" t="s">
        <v>272</v>
      </c>
      <c r="C9911">
        <v>6000000</v>
      </c>
      <c r="D9911">
        <v>31200</v>
      </c>
    </row>
    <row r="9912" spans="1:4" x14ac:dyDescent="0.25">
      <c r="A9912" t="str">
        <f>T("   600290")</f>
        <v xml:space="preserve">   600290</v>
      </c>
      <c r="B9912" t="s">
        <v>274</v>
      </c>
      <c r="C9912">
        <v>1950000</v>
      </c>
      <c r="D9912">
        <v>2084</v>
      </c>
    </row>
    <row r="9913" spans="1:4" x14ac:dyDescent="0.25">
      <c r="A9913" t="str">
        <f>T("   610829")</f>
        <v xml:space="preserve">   610829</v>
      </c>
      <c r="B9913"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9913">
        <v>197340</v>
      </c>
      <c r="D9913">
        <v>300</v>
      </c>
    </row>
    <row r="9914" spans="1:4" x14ac:dyDescent="0.25">
      <c r="A9914" t="str">
        <f>T("   610910")</f>
        <v xml:space="preserve">   610910</v>
      </c>
      <c r="B9914" t="str">
        <f>T("   T-shirts et maillots de corps, en bonneterie, de coton,")</f>
        <v xml:space="preserve">   T-shirts et maillots de corps, en bonneterie, de coton,</v>
      </c>
      <c r="C9914">
        <v>22624624</v>
      </c>
      <c r="D9914">
        <v>45900</v>
      </c>
    </row>
    <row r="9915" spans="1:4" x14ac:dyDescent="0.25">
      <c r="A9915" t="str">
        <f>T("   610990")</f>
        <v xml:space="preserve">   610990</v>
      </c>
      <c r="B9915" t="str">
        <f>T("   T-shirts et maillots de corps, en bonneterie, de matières textiles (sauf de coton)")</f>
        <v xml:space="preserve">   T-shirts et maillots de corps, en bonneterie, de matières textiles (sauf de coton)</v>
      </c>
      <c r="C9915">
        <v>699747846</v>
      </c>
      <c r="D9915">
        <v>2535194</v>
      </c>
    </row>
    <row r="9916" spans="1:4" x14ac:dyDescent="0.25">
      <c r="A9916" t="str">
        <f>T("   611019")</f>
        <v xml:space="preserve">   611019</v>
      </c>
      <c r="B9916" t="str">
        <f>T("   Chandails, pull-overs, cardigans, gilets et articles simil., y.c. les sous-pulls, en bonneterie, de poils fins (sauf de poils de chèvre du Cachemire et à l'excl. des gilets ouatinés)")</f>
        <v xml:space="preserve">   Chandails, pull-overs, cardigans, gilets et articles simil., y.c. les sous-pulls, en bonneterie, de poils fins (sauf de poils de chèvre du Cachemire et à l'excl. des gilets ouatinés)</v>
      </c>
      <c r="C9916">
        <v>764610</v>
      </c>
      <c r="D9916">
        <v>1090</v>
      </c>
    </row>
    <row r="9917" spans="1:4" x14ac:dyDescent="0.25">
      <c r="A9917" t="str">
        <f>T("   611190")</f>
        <v xml:space="preserve">   611190</v>
      </c>
      <c r="B9917"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9917">
        <v>393228</v>
      </c>
      <c r="D9917">
        <v>1200</v>
      </c>
    </row>
    <row r="9918" spans="1:4" x14ac:dyDescent="0.25">
      <c r="A9918" t="str">
        <f>T("   611710")</f>
        <v xml:space="preserve">   611710</v>
      </c>
      <c r="B9918" t="str">
        <f>T("   Châles, écharpes, foulards, cache-nez, cache-col, mantilles, voiles, voilettes et articles simil., en bonneterie")</f>
        <v xml:space="preserve">   Châles, écharpes, foulards, cache-nez, cache-col, mantilles, voiles, voilettes et articles simil., en bonneterie</v>
      </c>
      <c r="C9918">
        <v>6554000</v>
      </c>
      <c r="D9918">
        <v>5640</v>
      </c>
    </row>
    <row r="9919" spans="1:4" x14ac:dyDescent="0.25">
      <c r="A9919" t="str">
        <f>T("   620111")</f>
        <v xml:space="preserve">   620111</v>
      </c>
      <c r="B9919" t="str">
        <f>T("   Manteaux, imperméables, cabans, capes et articles simil., de laine ou poils fins, pour hommes ou garçonnets (à l'excl. des articles en bonneterie)")</f>
        <v xml:space="preserve">   Manteaux, imperméables, cabans, capes et articles simil., de laine ou poils fins, pour hommes ou garçonnets (à l'excl. des articles en bonneterie)</v>
      </c>
      <c r="C9919">
        <v>600000</v>
      </c>
      <c r="D9919">
        <v>700</v>
      </c>
    </row>
    <row r="9920" spans="1:4" x14ac:dyDescent="0.25">
      <c r="A9920" t="str">
        <f>T("   620299")</f>
        <v xml:space="preserve">   620299</v>
      </c>
      <c r="B9920" t="s">
        <v>287</v>
      </c>
      <c r="C9920">
        <v>354696</v>
      </c>
      <c r="D9920">
        <v>1200</v>
      </c>
    </row>
    <row r="9921" spans="1:4" x14ac:dyDescent="0.25">
      <c r="A9921" t="str">
        <f>T("   620899")</f>
        <v xml:space="preserve">   620899</v>
      </c>
      <c r="B9921" t="s">
        <v>293</v>
      </c>
      <c r="C9921">
        <v>32769</v>
      </c>
      <c r="D9921">
        <v>150</v>
      </c>
    </row>
    <row r="9922" spans="1:4" x14ac:dyDescent="0.25">
      <c r="A9922" t="str">
        <f>T("   620990")</f>
        <v xml:space="preserve">   620990</v>
      </c>
      <c r="B9922"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9922">
        <v>17477</v>
      </c>
      <c r="D9922">
        <v>5</v>
      </c>
    </row>
    <row r="9923" spans="1:4" x14ac:dyDescent="0.25">
      <c r="A9923" t="str">
        <f>T("   621050")</f>
        <v xml:space="preserve">   621050</v>
      </c>
      <c r="B9923" t="s">
        <v>295</v>
      </c>
      <c r="C9923">
        <v>3383990</v>
      </c>
      <c r="D9923">
        <v>224540</v>
      </c>
    </row>
    <row r="9924" spans="1:4" x14ac:dyDescent="0.25">
      <c r="A9924" t="str">
        <f>T("   621320")</f>
        <v xml:space="preserve">   621320</v>
      </c>
      <c r="B9924" t="str">
        <f>T("   Mouchoirs et pochettes dont un côté &lt;= 60 cm, de coton (autres qu'en bonneterie)")</f>
        <v xml:space="preserve">   Mouchoirs et pochettes dont un côté &lt;= 60 cm, de coton (autres qu'en bonneterie)</v>
      </c>
      <c r="C9924">
        <v>1500000</v>
      </c>
      <c r="D9924">
        <v>6200</v>
      </c>
    </row>
    <row r="9925" spans="1:4" x14ac:dyDescent="0.25">
      <c r="A9925" t="str">
        <f>T("   621490")</f>
        <v xml:space="preserve">   621490</v>
      </c>
      <c r="B9925"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9925">
        <v>1100000</v>
      </c>
      <c r="D9925">
        <v>5500</v>
      </c>
    </row>
    <row r="9926" spans="1:4" x14ac:dyDescent="0.25">
      <c r="A9926" t="str">
        <f>T("   621710")</f>
        <v xml:space="preserve">   621710</v>
      </c>
      <c r="B9926" t="str">
        <f>T("   Accessoires confectionnés du vêtement en tous types de matières textiles, n.d.a. (autres qu'en bonneterie)")</f>
        <v xml:space="preserve">   Accessoires confectionnés du vêtement en tous types de matières textiles, n.d.a. (autres qu'en bonneterie)</v>
      </c>
      <c r="C9926">
        <v>2373067</v>
      </c>
      <c r="D9926">
        <v>1100</v>
      </c>
    </row>
    <row r="9927" spans="1:4" x14ac:dyDescent="0.25">
      <c r="A9927" t="str">
        <f>T("   630190")</f>
        <v xml:space="preserve">   630190</v>
      </c>
      <c r="B9927" t="s">
        <v>297</v>
      </c>
      <c r="C9927">
        <v>9815162</v>
      </c>
      <c r="D9927">
        <v>25990</v>
      </c>
    </row>
    <row r="9928" spans="1:4" x14ac:dyDescent="0.25">
      <c r="A9928" t="str">
        <f>T("   630232")</f>
        <v xml:space="preserve">   630232</v>
      </c>
      <c r="B9928" t="str">
        <f>T("   Linge de lit de fibres synthétiques ou artificielles (autre qu'imprimé, autre qu'en bonneterie)")</f>
        <v xml:space="preserve">   Linge de lit de fibres synthétiques ou artificielles (autre qu'imprimé, autre qu'en bonneterie)</v>
      </c>
      <c r="C9928">
        <v>2622</v>
      </c>
      <c r="D9928">
        <v>20</v>
      </c>
    </row>
    <row r="9929" spans="1:4" x14ac:dyDescent="0.25">
      <c r="A9929" t="str">
        <f>T("   630251")</f>
        <v xml:space="preserve">   630251</v>
      </c>
      <c r="B9929" t="str">
        <f>T("   Linge de table de coton (autre qu'en bonneterie)")</f>
        <v xml:space="preserve">   Linge de table de coton (autre qu'en bonneterie)</v>
      </c>
      <c r="C9929">
        <v>3359135</v>
      </c>
      <c r="D9929">
        <v>240</v>
      </c>
    </row>
    <row r="9930" spans="1:4" x14ac:dyDescent="0.25">
      <c r="A9930" t="str">
        <f>T("   630259")</f>
        <v xml:space="preserve">   630259</v>
      </c>
      <c r="B9930" t="str">
        <f>T("   LINGE DE TABLE DE MATIÈRES TEXTILES (AUTRE QUE DE COTON, FIBRES SYNTHÉTIQUES OU ARTIFICIELLES, AUTRE QU'EN BONNETERIE)")</f>
        <v xml:space="preserve">   LINGE DE TABLE DE MATIÈRES TEXTILES (AUTRE QUE DE COTON, FIBRES SYNTHÉTIQUES OU ARTIFICIELLES, AUTRE QU'EN BONNETERIE)</v>
      </c>
      <c r="C9930">
        <v>655380</v>
      </c>
      <c r="D9930">
        <v>480</v>
      </c>
    </row>
    <row r="9931" spans="1:4" x14ac:dyDescent="0.25">
      <c r="A9931" t="str">
        <f>T("   630260")</f>
        <v xml:space="preserve">   630260</v>
      </c>
      <c r="B9931"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9931">
        <v>497565</v>
      </c>
      <c r="D9931">
        <v>7165</v>
      </c>
    </row>
    <row r="9932" spans="1:4" x14ac:dyDescent="0.25">
      <c r="A9932" t="str">
        <f>T("   630499")</f>
        <v xml:space="preserve">   630499</v>
      </c>
      <c r="B9932" t="s">
        <v>299</v>
      </c>
      <c r="C9932">
        <v>1111215</v>
      </c>
      <c r="D9932">
        <v>4756</v>
      </c>
    </row>
    <row r="9933" spans="1:4" x14ac:dyDescent="0.25">
      <c r="A9933" t="str">
        <f>T("   630510")</f>
        <v xml:space="preserve">   630510</v>
      </c>
      <c r="B9933" t="str">
        <f>T("   Sacs et sachets d'emballage de jute ou d'autres fibres textiles libériennes du n° 5303")</f>
        <v xml:space="preserve">   Sacs et sachets d'emballage de jute ou d'autres fibres textiles libériennes du n° 5303</v>
      </c>
      <c r="C9933">
        <v>45147188</v>
      </c>
      <c r="D9933">
        <v>338010</v>
      </c>
    </row>
    <row r="9934" spans="1:4" x14ac:dyDescent="0.25">
      <c r="A9934" t="str">
        <f>T("   630539")</f>
        <v xml:space="preserve">   630539</v>
      </c>
      <c r="B9934"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9934">
        <v>1000000</v>
      </c>
      <c r="D9934">
        <v>8760</v>
      </c>
    </row>
    <row r="9935" spans="1:4" x14ac:dyDescent="0.25">
      <c r="A9935" t="str">
        <f>T("   630590")</f>
        <v xml:space="preserve">   630590</v>
      </c>
      <c r="B9935"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9935">
        <v>1722170</v>
      </c>
      <c r="D9935">
        <v>8508</v>
      </c>
    </row>
    <row r="9936" spans="1:4" x14ac:dyDescent="0.25">
      <c r="A9936" t="str">
        <f>T("   630619")</f>
        <v xml:space="preserve">   630619</v>
      </c>
      <c r="B9936"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9936">
        <v>6977000</v>
      </c>
      <c r="D9936">
        <v>20600</v>
      </c>
    </row>
    <row r="9937" spans="1:4" x14ac:dyDescent="0.25">
      <c r="A9937" t="str">
        <f>T("   630710")</f>
        <v xml:space="preserve">   630710</v>
      </c>
      <c r="B9937" t="str">
        <f>T("   Serpillières ou wassingues, lavettes, chamoisettes et articles d'entretien simil. en tous types de matières textiles")</f>
        <v xml:space="preserve">   Serpillières ou wassingues, lavettes, chamoisettes et articles d'entretien simil. en tous types de matières textiles</v>
      </c>
      <c r="C9937">
        <v>300000</v>
      </c>
      <c r="D9937">
        <v>189</v>
      </c>
    </row>
    <row r="9938" spans="1:4" x14ac:dyDescent="0.25">
      <c r="A9938" t="str">
        <f>T("   630790")</f>
        <v xml:space="preserve">   630790</v>
      </c>
      <c r="B9938" t="str">
        <f>T("   Articles de matières textiles, confectionnés, y.c. les patrons de vêtements n.d.a.")</f>
        <v xml:space="preserve">   Articles de matières textiles, confectionnés, y.c. les patrons de vêtements n.d.a.</v>
      </c>
      <c r="C9938">
        <v>109230</v>
      </c>
      <c r="D9938">
        <v>760</v>
      </c>
    </row>
    <row r="9939" spans="1:4" x14ac:dyDescent="0.25">
      <c r="A9939" t="str">
        <f>T("   630900")</f>
        <v xml:space="preserve">   630900</v>
      </c>
      <c r="B9939" t="s">
        <v>300</v>
      </c>
      <c r="C9939">
        <v>1046328501</v>
      </c>
      <c r="D9939">
        <v>4153046</v>
      </c>
    </row>
    <row r="9940" spans="1:4" x14ac:dyDescent="0.25">
      <c r="A9940" t="str">
        <f>T("   631090")</f>
        <v xml:space="preserve">   631090</v>
      </c>
      <c r="B9940"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9940">
        <v>1602764</v>
      </c>
      <c r="D9940">
        <v>7727</v>
      </c>
    </row>
    <row r="9941" spans="1:4" x14ac:dyDescent="0.25">
      <c r="A9941" t="str">
        <f>T("   640110")</f>
        <v xml:space="preserve">   640110</v>
      </c>
      <c r="B9941" t="s">
        <v>301</v>
      </c>
      <c r="C9941">
        <v>6160994</v>
      </c>
      <c r="D9941">
        <v>16800</v>
      </c>
    </row>
    <row r="9942" spans="1:4" x14ac:dyDescent="0.25">
      <c r="A9942" t="str">
        <f>T("   640192")</f>
        <v xml:space="preserve">   640192</v>
      </c>
      <c r="B9942" t="s">
        <v>302</v>
      </c>
      <c r="C9942">
        <v>32415</v>
      </c>
      <c r="D9942">
        <v>90</v>
      </c>
    </row>
    <row r="9943" spans="1:4" x14ac:dyDescent="0.25">
      <c r="A9943" t="str">
        <f>T("   640199")</f>
        <v xml:space="preserve">   640199</v>
      </c>
      <c r="B9943" t="s">
        <v>301</v>
      </c>
      <c r="C9943">
        <v>101003013</v>
      </c>
      <c r="D9943">
        <v>346170</v>
      </c>
    </row>
    <row r="9944" spans="1:4" x14ac:dyDescent="0.25">
      <c r="A9944" t="str">
        <f>T("   640219")</f>
        <v xml:space="preserve">   640219</v>
      </c>
      <c r="B9944" t="s">
        <v>303</v>
      </c>
      <c r="C9944">
        <v>1707192</v>
      </c>
      <c r="D9944">
        <v>7830</v>
      </c>
    </row>
    <row r="9945" spans="1:4" x14ac:dyDescent="0.25">
      <c r="A9945" t="str">
        <f>T("   640220")</f>
        <v xml:space="preserve">   640220</v>
      </c>
      <c r="B9945"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9945">
        <v>139912761</v>
      </c>
      <c r="D9945">
        <v>949678</v>
      </c>
    </row>
    <row r="9946" spans="1:4" x14ac:dyDescent="0.25">
      <c r="A9946" t="str">
        <f>T("   640230")</f>
        <v xml:space="preserve">   640230</v>
      </c>
      <c r="B9946" t="s">
        <v>304</v>
      </c>
      <c r="C9946">
        <v>11050000</v>
      </c>
      <c r="D9946">
        <v>74900</v>
      </c>
    </row>
    <row r="9947" spans="1:4" x14ac:dyDescent="0.25">
      <c r="A9947" t="str">
        <f>T("   640291")</f>
        <v xml:space="preserve">   640291</v>
      </c>
      <c r="B9947"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9947">
        <v>1101270</v>
      </c>
      <c r="D9947">
        <v>5320</v>
      </c>
    </row>
    <row r="9948" spans="1:4" x14ac:dyDescent="0.25">
      <c r="A9948" t="str">
        <f>T("   640299")</f>
        <v xml:space="preserve">   640299</v>
      </c>
      <c r="B9948" t="s">
        <v>305</v>
      </c>
      <c r="C9948">
        <v>121703838</v>
      </c>
      <c r="D9948">
        <v>617913</v>
      </c>
    </row>
    <row r="9949" spans="1:4" x14ac:dyDescent="0.25">
      <c r="A9949" t="str">
        <f>T("   640319")</f>
        <v xml:space="preserve">   640319</v>
      </c>
      <c r="B9949" t="s">
        <v>306</v>
      </c>
      <c r="C9949">
        <v>12879525</v>
      </c>
      <c r="D9949">
        <v>59035</v>
      </c>
    </row>
    <row r="9950" spans="1:4" x14ac:dyDescent="0.25">
      <c r="A9950" t="str">
        <f>T("   640359")</f>
        <v xml:space="preserve">   640359</v>
      </c>
      <c r="B9950" t="s">
        <v>307</v>
      </c>
      <c r="C9950">
        <v>432199</v>
      </c>
      <c r="D9950">
        <v>2310</v>
      </c>
    </row>
    <row r="9951" spans="1:4" x14ac:dyDescent="0.25">
      <c r="A9951" t="str">
        <f>T("   640391")</f>
        <v xml:space="preserve">   640391</v>
      </c>
      <c r="B9951" t="s">
        <v>308</v>
      </c>
      <c r="C9951">
        <v>216099</v>
      </c>
      <c r="D9951">
        <v>1870</v>
      </c>
    </row>
    <row r="9952" spans="1:4" x14ac:dyDescent="0.25">
      <c r="A9952" t="str">
        <f>T("   640399")</f>
        <v xml:space="preserve">   640399</v>
      </c>
      <c r="B9952" t="s">
        <v>309</v>
      </c>
      <c r="C9952">
        <v>1600000</v>
      </c>
      <c r="D9952">
        <v>17450</v>
      </c>
    </row>
    <row r="9953" spans="1:4" x14ac:dyDescent="0.25">
      <c r="A9953" t="str">
        <f>T("   640419")</f>
        <v xml:space="preserve">   640419</v>
      </c>
      <c r="B9953" t="s">
        <v>310</v>
      </c>
      <c r="C9953">
        <v>46195623</v>
      </c>
      <c r="D9953">
        <v>246077</v>
      </c>
    </row>
    <row r="9954" spans="1:4" x14ac:dyDescent="0.25">
      <c r="A9954" t="str">
        <f>T("   640420")</f>
        <v xml:space="preserve">   640420</v>
      </c>
      <c r="B9954"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9954">
        <v>366099</v>
      </c>
      <c r="D9954">
        <v>1390</v>
      </c>
    </row>
    <row r="9955" spans="1:4" x14ac:dyDescent="0.25">
      <c r="A9955" t="str">
        <f>T("   640520")</f>
        <v xml:space="preserve">   640520</v>
      </c>
      <c r="B9955"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9955">
        <v>400000</v>
      </c>
      <c r="D9955">
        <v>2000</v>
      </c>
    </row>
    <row r="9956" spans="1:4" x14ac:dyDescent="0.25">
      <c r="A9956" t="str">
        <f>T("   640590")</f>
        <v xml:space="preserve">   640590</v>
      </c>
      <c r="B9956" t="s">
        <v>311</v>
      </c>
      <c r="C9956">
        <v>492208707</v>
      </c>
      <c r="D9956">
        <v>2295623</v>
      </c>
    </row>
    <row r="9957" spans="1:4" x14ac:dyDescent="0.25">
      <c r="A9957" t="str">
        <f>T("   640610")</f>
        <v xml:space="preserve">   640610</v>
      </c>
      <c r="B9957" t="str">
        <f>T("   Dessus de chaussures et leurs parties (sauf contreforts et bouts durs et sauf les parties en amiante)")</f>
        <v xml:space="preserve">   Dessus de chaussures et leurs parties (sauf contreforts et bouts durs et sauf les parties en amiante)</v>
      </c>
      <c r="C9957">
        <v>2153890</v>
      </c>
      <c r="D9957">
        <v>11930</v>
      </c>
    </row>
    <row r="9958" spans="1:4" x14ac:dyDescent="0.25">
      <c r="A9958" t="str">
        <f>T("   640620")</f>
        <v xml:space="preserve">   640620</v>
      </c>
      <c r="B9958" t="str">
        <f>T("   Semelles extérieures et talons de chaussures, en caoutchouc ou en matière plastique")</f>
        <v xml:space="preserve">   Semelles extérieures et talons de chaussures, en caoutchouc ou en matière plastique</v>
      </c>
      <c r="C9958">
        <v>1149379</v>
      </c>
      <c r="D9958">
        <v>7017</v>
      </c>
    </row>
    <row r="9959" spans="1:4" x14ac:dyDescent="0.25">
      <c r="A9959" t="str">
        <f>T("   650400")</f>
        <v xml:space="preserve">   650400</v>
      </c>
      <c r="B9959"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9959">
        <v>1000000</v>
      </c>
      <c r="D9959">
        <v>4800</v>
      </c>
    </row>
    <row r="9960" spans="1:4" x14ac:dyDescent="0.25">
      <c r="A9960" t="str">
        <f>T("   650510")</f>
        <v xml:space="preserve">   650510</v>
      </c>
      <c r="B9960" t="str">
        <f>T("   Résilles et filets à cheveux en toutes matières, même garnis")</f>
        <v xml:space="preserve">   Résilles et filets à cheveux en toutes matières, même garnis</v>
      </c>
      <c r="C9960">
        <v>172880</v>
      </c>
      <c r="D9960">
        <v>990</v>
      </c>
    </row>
    <row r="9961" spans="1:4" x14ac:dyDescent="0.25">
      <c r="A9961" t="str">
        <f>T("   650590")</f>
        <v xml:space="preserve">   650590</v>
      </c>
      <c r="B9961" t="s">
        <v>312</v>
      </c>
      <c r="C9961">
        <v>11484960</v>
      </c>
      <c r="D9961">
        <v>17140</v>
      </c>
    </row>
    <row r="9962" spans="1:4" x14ac:dyDescent="0.25">
      <c r="A9962" t="str">
        <f>T("   650699")</f>
        <v xml:space="preserve">   650699</v>
      </c>
      <c r="B9962" t="str">
        <f>T("   Chapeaux et autres coiffures, même garnis, n.d.a.")</f>
        <v xml:space="preserve">   Chapeaux et autres coiffures, même garnis, n.d.a.</v>
      </c>
      <c r="C9962">
        <v>108050</v>
      </c>
      <c r="D9962">
        <v>10</v>
      </c>
    </row>
    <row r="9963" spans="1:4" x14ac:dyDescent="0.25">
      <c r="A9963" t="str">
        <f>T("   670290")</f>
        <v xml:space="preserve">   670290</v>
      </c>
      <c r="B9963"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9963">
        <v>43223</v>
      </c>
      <c r="D9963">
        <v>120</v>
      </c>
    </row>
    <row r="9964" spans="1:4" x14ac:dyDescent="0.25">
      <c r="A9964" t="str">
        <f>T("   670300")</f>
        <v xml:space="preserve">   670300</v>
      </c>
      <c r="B9964" t="str">
        <f>T("   Cheveux remis, amincis, blanchis ou autrement préparés; laine, poils et autres matières textiles, préparés pour la fabrication de perruques ou d'articles simil. (sauf tresses en cheveux naturels, bruts, même lavés et dégraissés, sinon non traités)")</f>
        <v xml:space="preserve">   Cheveux remis, amincis, blanchis ou autrement préparés; laine, poils et autres matières textiles, préparés pour la fabrication de perruques ou d'articles simil. (sauf tresses en cheveux naturels, bruts, même lavés et dégraissés, sinon non traités)</v>
      </c>
      <c r="C9964">
        <v>1000000</v>
      </c>
      <c r="D9964">
        <v>11560</v>
      </c>
    </row>
    <row r="9965" spans="1:4" x14ac:dyDescent="0.25">
      <c r="A9965" t="str">
        <f>T("   670419")</f>
        <v xml:space="preserve">   670419</v>
      </c>
      <c r="B9965" t="str">
        <f>T("   Barbes, sourcils, cils, mèches et articles simil., en matières textiles synthétiques (sauf perruques complètes)")</f>
        <v xml:space="preserve">   Barbes, sourcils, cils, mèches et articles simil., en matières textiles synthétiques (sauf perruques complètes)</v>
      </c>
      <c r="C9965">
        <v>4319932</v>
      </c>
      <c r="D9965">
        <v>9420</v>
      </c>
    </row>
    <row r="9966" spans="1:4" x14ac:dyDescent="0.25">
      <c r="A9966" t="str">
        <f>T("   670420")</f>
        <v xml:space="preserve">   670420</v>
      </c>
      <c r="B9966" t="str">
        <f>T("   Perruques, barbes, sourcils, cils, mèches et articles simil., en cheveux; ouvrages en cheveux n.d.a.")</f>
        <v xml:space="preserve">   Perruques, barbes, sourcils, cils, mèches et articles simil., en cheveux; ouvrages en cheveux n.d.a.</v>
      </c>
      <c r="C9966">
        <v>110880601</v>
      </c>
      <c r="D9966">
        <v>464004</v>
      </c>
    </row>
    <row r="9967" spans="1:4" x14ac:dyDescent="0.25">
      <c r="A9967" t="str">
        <f>T("   680100")</f>
        <v xml:space="preserve">   680100</v>
      </c>
      <c r="B9967" t="str">
        <f>T("   Pavés, bordures de trottoirs et dalles de pavage, en pierres naturelles (autres que l'ardoise)")</f>
        <v xml:space="preserve">   Pavés, bordures de trottoirs et dalles de pavage, en pierres naturelles (autres que l'ardoise)</v>
      </c>
      <c r="C9967">
        <v>147601</v>
      </c>
      <c r="D9967">
        <v>500</v>
      </c>
    </row>
    <row r="9968" spans="1:4" x14ac:dyDescent="0.25">
      <c r="A9968" t="str">
        <f>T("   680210")</f>
        <v xml:space="preserve">   680210</v>
      </c>
      <c r="B9968" t="s">
        <v>314</v>
      </c>
      <c r="C9968">
        <v>4677028</v>
      </c>
      <c r="D9968">
        <v>54040</v>
      </c>
    </row>
    <row r="9969" spans="1:4" x14ac:dyDescent="0.25">
      <c r="A9969" t="str">
        <f>T("   680221")</f>
        <v xml:space="preserve">   680221</v>
      </c>
      <c r="B9969" t="s">
        <v>315</v>
      </c>
      <c r="C9969">
        <v>764610</v>
      </c>
      <c r="D9969">
        <v>4400</v>
      </c>
    </row>
    <row r="9970" spans="1:4" x14ac:dyDescent="0.25">
      <c r="A9970" t="str">
        <f>T("   680300")</f>
        <v xml:space="preserve">   680300</v>
      </c>
      <c r="B9970" t="s">
        <v>319</v>
      </c>
      <c r="C9970">
        <v>109230</v>
      </c>
      <c r="D9970">
        <v>190</v>
      </c>
    </row>
    <row r="9971" spans="1:4" x14ac:dyDescent="0.25">
      <c r="A9971" t="str">
        <f>T("   680430")</f>
        <v xml:space="preserve">   680430</v>
      </c>
      <c r="B9971" t="str">
        <f>T("   Pierres à aiguiser ou à polir à la main")</f>
        <v xml:space="preserve">   Pierres à aiguiser ou à polir à la main</v>
      </c>
      <c r="C9971">
        <v>259040</v>
      </c>
      <c r="D9971">
        <v>1000</v>
      </c>
    </row>
    <row r="9972" spans="1:4" x14ac:dyDescent="0.25">
      <c r="A9972" t="str">
        <f>T("   680800")</f>
        <v xml:space="preserve">   680800</v>
      </c>
      <c r="B9972" t="s">
        <v>324</v>
      </c>
      <c r="C9972">
        <v>43694</v>
      </c>
      <c r="D9972">
        <v>530</v>
      </c>
    </row>
    <row r="9973" spans="1:4" x14ac:dyDescent="0.25">
      <c r="A9973" t="str">
        <f>T("   681140")</f>
        <v xml:space="preserve">   681140</v>
      </c>
      <c r="B9973" t="str">
        <f>T("   OUVRAGES EN AMIANTE-CIMENT, CELLULOSE-CIMENT OU SIMIL., CONTENANT DE L'AMIANTE")</f>
        <v xml:space="preserve">   OUVRAGES EN AMIANTE-CIMENT, CELLULOSE-CIMENT OU SIMIL., CONTENANT DE L'AMIANTE</v>
      </c>
      <c r="C9973">
        <v>2365374</v>
      </c>
      <c r="D9973">
        <v>19230</v>
      </c>
    </row>
    <row r="9974" spans="1:4" x14ac:dyDescent="0.25">
      <c r="A9974" t="str">
        <f>T("   681490")</f>
        <v xml:space="preserve">   681490</v>
      </c>
      <c r="B9974" t="s">
        <v>328</v>
      </c>
      <c r="C9974">
        <v>43692</v>
      </c>
      <c r="D9974">
        <v>400</v>
      </c>
    </row>
    <row r="9975" spans="1:4" x14ac:dyDescent="0.25">
      <c r="A9975" t="str">
        <f>T("   681591")</f>
        <v xml:space="preserve">   681591</v>
      </c>
      <c r="B9975" t="str">
        <f>T("   Ouvrages en pierres ou en autres matières minérales n.d.a. et contenant de la magnésite, de la dolomie ou de la chromite")</f>
        <v xml:space="preserve">   Ouvrages en pierres ou en autres matières minérales n.d.a. et contenant de la magnésite, de la dolomie ou de la chromite</v>
      </c>
      <c r="C9975">
        <v>39324</v>
      </c>
      <c r="D9975">
        <v>120</v>
      </c>
    </row>
    <row r="9976" spans="1:4" x14ac:dyDescent="0.25">
      <c r="A9976" t="str">
        <f>T("   690790")</f>
        <v xml:space="preserve">   690790</v>
      </c>
      <c r="B9976" t="s">
        <v>335</v>
      </c>
      <c r="C9976">
        <v>900000</v>
      </c>
      <c r="D9976">
        <v>20145</v>
      </c>
    </row>
    <row r="9977" spans="1:4" x14ac:dyDescent="0.25">
      <c r="A9977" t="str">
        <f>T("   690810")</f>
        <v xml:space="preserve">   690810</v>
      </c>
      <c r="B9977"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9977">
        <v>2118327</v>
      </c>
      <c r="D9977">
        <v>17770</v>
      </c>
    </row>
    <row r="9978" spans="1:4" x14ac:dyDescent="0.25">
      <c r="A9978" t="str">
        <f>T("   691090")</f>
        <v xml:space="preserve">   691090</v>
      </c>
      <c r="B9978" t="s">
        <v>339</v>
      </c>
      <c r="C9978">
        <v>436920</v>
      </c>
      <c r="D9978">
        <v>870</v>
      </c>
    </row>
    <row r="9979" spans="1:4" x14ac:dyDescent="0.25">
      <c r="A9979" t="str">
        <f>T("   700100")</f>
        <v xml:space="preserve">   700100</v>
      </c>
      <c r="B9979" t="str">
        <f>T("   Calcin et autres déchets et débris de verre; verre en masse (sauf verre sous forme de poudre, grenailles, lamelles ou flocons)")</f>
        <v xml:space="preserve">   Calcin et autres déchets et débris de verre; verre en masse (sauf verre sous forme de poudre, grenailles, lamelles ou flocons)</v>
      </c>
      <c r="C9979">
        <v>465460</v>
      </c>
      <c r="D9979">
        <v>35740</v>
      </c>
    </row>
    <row r="9980" spans="1:4" x14ac:dyDescent="0.25">
      <c r="A9980" t="str">
        <f>T("   700529")</f>
        <v xml:space="preserve">   700529</v>
      </c>
      <c r="B9980" t="s">
        <v>343</v>
      </c>
      <c r="C9980">
        <v>1416439</v>
      </c>
      <c r="D9980">
        <v>6778</v>
      </c>
    </row>
    <row r="9981" spans="1:4" x14ac:dyDescent="0.25">
      <c r="A9981" t="str">
        <f>T("   700600")</f>
        <v xml:space="preserve">   700600</v>
      </c>
      <c r="B9981" t="s">
        <v>344</v>
      </c>
      <c r="C9981">
        <v>86440</v>
      </c>
      <c r="D9981">
        <v>920</v>
      </c>
    </row>
    <row r="9982" spans="1:4" x14ac:dyDescent="0.25">
      <c r="A9982" t="str">
        <f>T("   700992")</f>
        <v xml:space="preserve">   700992</v>
      </c>
      <c r="B9982" t="str">
        <f>T("   Miroirs, en verre encadrés (sauf miroirs rétroviseurs pour véhicules)")</f>
        <v xml:space="preserve">   Miroirs, en verre encadrés (sauf miroirs rétroviseurs pour véhicules)</v>
      </c>
      <c r="C9982">
        <v>4806116</v>
      </c>
      <c r="D9982">
        <v>25940</v>
      </c>
    </row>
    <row r="9983" spans="1:4" x14ac:dyDescent="0.25">
      <c r="A9983" t="str">
        <f>T("   701010")</f>
        <v xml:space="preserve">   701010</v>
      </c>
      <c r="B9983" t="str">
        <f>T("   AMPOULES EN VERRE")</f>
        <v xml:space="preserve">   AMPOULES EN VERRE</v>
      </c>
      <c r="C9983">
        <v>9287936</v>
      </c>
      <c r="D9983">
        <v>17114</v>
      </c>
    </row>
    <row r="9984" spans="1:4" x14ac:dyDescent="0.25">
      <c r="A9984" t="str">
        <f>T("   701090")</f>
        <v xml:space="preserve">   701090</v>
      </c>
      <c r="B9984" t="s">
        <v>348</v>
      </c>
      <c r="C9984">
        <v>1917313</v>
      </c>
      <c r="D9984">
        <v>9771</v>
      </c>
    </row>
    <row r="9985" spans="1:4" x14ac:dyDescent="0.25">
      <c r="A9985" t="str">
        <f>T("   701092")</f>
        <v xml:space="preserve">   701092</v>
      </c>
      <c r="B9985" t="s">
        <v>349</v>
      </c>
      <c r="C9985">
        <v>218185</v>
      </c>
      <c r="D9985">
        <v>2000</v>
      </c>
    </row>
    <row r="9986" spans="1:4" x14ac:dyDescent="0.25">
      <c r="A9986" t="str">
        <f>T("   701094")</f>
        <v xml:space="preserve">   701094</v>
      </c>
      <c r="B9986" t="s">
        <v>350</v>
      </c>
      <c r="C9986">
        <v>581820</v>
      </c>
      <c r="D9986">
        <v>820</v>
      </c>
    </row>
    <row r="9987" spans="1:4" x14ac:dyDescent="0.25">
      <c r="A9987" t="str">
        <f>T("   701339")</f>
        <v xml:space="preserve">   701339</v>
      </c>
      <c r="B9987" t="s">
        <v>352</v>
      </c>
      <c r="C9987">
        <v>482596</v>
      </c>
      <c r="D9987">
        <v>1880</v>
      </c>
    </row>
    <row r="9988" spans="1:4" x14ac:dyDescent="0.25">
      <c r="A9988" t="str">
        <f>T("   701690")</f>
        <v xml:space="preserve">   701690</v>
      </c>
      <c r="B9988" t="s">
        <v>356</v>
      </c>
      <c r="C9988">
        <v>1000000</v>
      </c>
      <c r="D9988">
        <v>5000</v>
      </c>
    </row>
    <row r="9989" spans="1:4" x14ac:dyDescent="0.25">
      <c r="A9989" t="str">
        <f>T("   701810")</f>
        <v xml:space="preserve">   701810</v>
      </c>
      <c r="B9989" t="s">
        <v>360</v>
      </c>
      <c r="C9989">
        <v>64830</v>
      </c>
      <c r="D9989">
        <v>80</v>
      </c>
    </row>
    <row r="9990" spans="1:4" x14ac:dyDescent="0.25">
      <c r="A9990" t="str">
        <f>T("   702000")</f>
        <v xml:space="preserve">   702000</v>
      </c>
      <c r="B9990" t="str">
        <f>T("   Ouvrages en verre n.d.a.")</f>
        <v xml:space="preserve">   Ouvrages en verre n.d.a.</v>
      </c>
      <c r="C9990">
        <v>439740</v>
      </c>
      <c r="D9990">
        <v>3630</v>
      </c>
    </row>
    <row r="9991" spans="1:4" x14ac:dyDescent="0.25">
      <c r="A9991" t="str">
        <f>T("   711790")</f>
        <v xml:space="preserve">   711790</v>
      </c>
      <c r="B9991" t="str">
        <f>T("   Bijouterie de fantaisie (autre qu'en métaux communs, même argentés, dorés ou platinés)")</f>
        <v xml:space="preserve">   Bijouterie de fantaisie (autre qu'en métaux communs, même argentés, dorés ou platinés)</v>
      </c>
      <c r="C9991">
        <v>734735</v>
      </c>
      <c r="D9991">
        <v>17</v>
      </c>
    </row>
    <row r="9992" spans="1:4" x14ac:dyDescent="0.25">
      <c r="A9992" t="str">
        <f>T("   720839")</f>
        <v xml:space="preserve">   720839</v>
      </c>
      <c r="B9992"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9992">
        <v>4600000</v>
      </c>
      <c r="D9992">
        <v>20000</v>
      </c>
    </row>
    <row r="9993" spans="1:4" x14ac:dyDescent="0.25">
      <c r="A9993" t="str">
        <f>T("   720916")</f>
        <v xml:space="preserve">   720916</v>
      </c>
      <c r="B9993"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9993">
        <v>66960000</v>
      </c>
      <c r="D9993">
        <v>290000</v>
      </c>
    </row>
    <row r="9994" spans="1:4" x14ac:dyDescent="0.25">
      <c r="A9994" t="str">
        <f>T("   720917")</f>
        <v xml:space="preserve">   720917</v>
      </c>
      <c r="B9994"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994">
        <v>14336000</v>
      </c>
      <c r="D9994">
        <v>56000</v>
      </c>
    </row>
    <row r="9995" spans="1:4" x14ac:dyDescent="0.25">
      <c r="A9995" t="str">
        <f>T("   720927")</f>
        <v xml:space="preserve">   720927</v>
      </c>
      <c r="B9995"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9995">
        <v>64874000</v>
      </c>
      <c r="D9995">
        <v>256000</v>
      </c>
    </row>
    <row r="9996" spans="1:4" x14ac:dyDescent="0.25">
      <c r="A9996" t="str">
        <f>T("   720990")</f>
        <v xml:space="preserve">   720990</v>
      </c>
      <c r="B9996"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9996">
        <v>80128000</v>
      </c>
      <c r="D9996">
        <v>313000</v>
      </c>
    </row>
    <row r="9997" spans="1:4" x14ac:dyDescent="0.25">
      <c r="A9997" t="str">
        <f>T("   721012")</f>
        <v xml:space="preserve">   721012</v>
      </c>
      <c r="B9997" t="str">
        <f>T("   PRODUITS LAMINÉS PLATS, EN FER OU EN ACIERS NON-ALLIÉS, D'UNE LARGEUR &gt;= 600 MM, LAMINÉS À CHAUD OU À FROID, ÉTAMÉS, D'UNE ÉPAISSEUR &lt; 0,5 MM")</f>
        <v xml:space="preserve">   PRODUITS LAMINÉS PLATS, EN FER OU EN ACIERS NON-ALLIÉS, D'UNE LARGEUR &gt;= 600 MM, LAMINÉS À CHAUD OU À FROID, ÉTAMÉS, D'UNE ÉPAISSEUR &lt; 0,5 MM</v>
      </c>
      <c r="C9997">
        <v>12800000</v>
      </c>
      <c r="D9997">
        <v>50000</v>
      </c>
    </row>
    <row r="9998" spans="1:4" x14ac:dyDescent="0.25">
      <c r="A9998" t="str">
        <f>T("   721041")</f>
        <v xml:space="preserve">   721041</v>
      </c>
      <c r="B9998"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9998">
        <v>955596660</v>
      </c>
      <c r="D9998">
        <v>2261491</v>
      </c>
    </row>
    <row r="9999" spans="1:4" x14ac:dyDescent="0.25">
      <c r="A9999" t="str">
        <f>T("   721049")</f>
        <v xml:space="preserve">   721049</v>
      </c>
      <c r="B9999"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999">
        <v>322575500</v>
      </c>
      <c r="D9999">
        <v>1263290</v>
      </c>
    </row>
    <row r="10000" spans="1:4" x14ac:dyDescent="0.25">
      <c r="A10000" t="str">
        <f>T("   721090")</f>
        <v xml:space="preserve">   721090</v>
      </c>
      <c r="B10000" t="s">
        <v>364</v>
      </c>
      <c r="C10000">
        <v>655380</v>
      </c>
      <c r="D10000">
        <v>5100</v>
      </c>
    </row>
    <row r="10001" spans="1:4" x14ac:dyDescent="0.25">
      <c r="A10001" t="str">
        <f>T("   721310")</f>
        <v xml:space="preserve">   721310</v>
      </c>
      <c r="B10001" t="str">
        <f>T("   FIL MACHINE EN FER OU ACIERS NON ALLIÉS, ENROULÉS EN COURONNES IRRÉGULIÈRES, AVEC INDENTATIONS, BOURRELETS, CREUX OU RELIEFS OBTENUS LORS DU LAMINAGE")</f>
        <v xml:space="preserve">   FIL MACHINE EN FER OU ACIERS NON ALLIÉS, ENROULÉS EN COURONNES IRRÉGULIÈRES, AVEC INDENTATIONS, BOURRELETS, CREUX OU RELIEFS OBTENUS LORS DU LAMINAGE</v>
      </c>
      <c r="C10001">
        <v>88550000</v>
      </c>
      <c r="D10001">
        <v>385000</v>
      </c>
    </row>
    <row r="10002" spans="1:4" x14ac:dyDescent="0.25">
      <c r="A10002" t="str">
        <f>T("   721391")</f>
        <v xml:space="preserve">   721391</v>
      </c>
      <c r="B1000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002">
        <v>255904357</v>
      </c>
      <c r="D10002">
        <v>700581</v>
      </c>
    </row>
    <row r="10003" spans="1:4" x14ac:dyDescent="0.25">
      <c r="A10003" t="str">
        <f>T("   721420")</f>
        <v xml:space="preserve">   721420</v>
      </c>
      <c r="B1000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003">
        <v>729899300</v>
      </c>
      <c r="D10003">
        <v>2784800</v>
      </c>
    </row>
    <row r="10004" spans="1:4" x14ac:dyDescent="0.25">
      <c r="A10004" t="str">
        <f>T("   721499")</f>
        <v xml:space="preserve">   721499</v>
      </c>
      <c r="B10004" t="s">
        <v>367</v>
      </c>
      <c r="C10004">
        <v>7680000</v>
      </c>
      <c r="D10004">
        <v>30000</v>
      </c>
    </row>
    <row r="10005" spans="1:4" x14ac:dyDescent="0.25">
      <c r="A10005" t="str">
        <f>T("   721590")</f>
        <v xml:space="preserve">   721590</v>
      </c>
      <c r="B1000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005">
        <v>192000000</v>
      </c>
      <c r="D10005">
        <v>750000</v>
      </c>
    </row>
    <row r="10006" spans="1:4" x14ac:dyDescent="0.25">
      <c r="A10006" t="str">
        <f>T("   721621")</f>
        <v xml:space="preserve">   721621</v>
      </c>
      <c r="B10006" t="str">
        <f>T("   PROFILÉS EN L EN FER OU ACIERS NON ALLIÉS, SIMPLEMENT LAMINÉS OU FILÉS À CHAUD, HAUTEUR &lt; 80 MM")</f>
        <v xml:space="preserve">   PROFILÉS EN L EN FER OU ACIERS NON ALLIÉS, SIMPLEMENT LAMINÉS OU FILÉS À CHAUD, HAUTEUR &lt; 80 MM</v>
      </c>
      <c r="C10006">
        <v>20736000</v>
      </c>
      <c r="D10006">
        <v>81000</v>
      </c>
    </row>
    <row r="10007" spans="1:4" x14ac:dyDescent="0.25">
      <c r="A10007" t="str">
        <f>T("   721650")</f>
        <v xml:space="preserve">   721650</v>
      </c>
      <c r="B10007"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007">
        <v>26450000</v>
      </c>
      <c r="D10007">
        <v>115000</v>
      </c>
    </row>
    <row r="10008" spans="1:4" x14ac:dyDescent="0.25">
      <c r="A10008" t="str">
        <f>T("   721661")</f>
        <v xml:space="preserve">   721661</v>
      </c>
      <c r="B10008"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10008">
        <v>65873000</v>
      </c>
      <c r="D10008">
        <v>251000</v>
      </c>
    </row>
    <row r="10009" spans="1:4" x14ac:dyDescent="0.25">
      <c r="A10009" t="str">
        <f>T("   721710")</f>
        <v xml:space="preserve">   721710</v>
      </c>
      <c r="B10009" t="str">
        <f>T("   FILS EN FER OU EN ACIERS NON-ALLIÉS, ENROULÉS, NON-REVÊTUS, MÊME POLIS (À L'EXCL. DU FIL MACHINE)")</f>
        <v xml:space="preserve">   FILS EN FER OU EN ACIERS NON-ALLIÉS, ENROULÉS, NON-REVÊTUS, MÊME POLIS (À L'EXCL. DU FIL MACHINE)</v>
      </c>
      <c r="C10009">
        <v>60311750</v>
      </c>
      <c r="D10009">
        <v>262225</v>
      </c>
    </row>
    <row r="10010" spans="1:4" x14ac:dyDescent="0.25">
      <c r="A10010" t="str">
        <f>T("   721720")</f>
        <v xml:space="preserve">   721720</v>
      </c>
      <c r="B10010" t="str">
        <f>T("   FILS EN FER OU EN ACIERS NON-ALLIÉS, ENROULÉS, ZINGUÉS (À L'EXCL. DU FIL MACHINE)")</f>
        <v xml:space="preserve">   FILS EN FER OU EN ACIERS NON-ALLIÉS, ENROULÉS, ZINGUÉS (À L'EXCL. DU FIL MACHINE)</v>
      </c>
      <c r="C10010">
        <v>21929510</v>
      </c>
      <c r="D10010">
        <v>60000</v>
      </c>
    </row>
    <row r="10011" spans="1:4" x14ac:dyDescent="0.25">
      <c r="A10011" t="str">
        <f>T("   721790")</f>
        <v xml:space="preserve">   721790</v>
      </c>
      <c r="B1001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0011">
        <v>53920466</v>
      </c>
      <c r="D10011">
        <v>150000</v>
      </c>
    </row>
    <row r="10012" spans="1:4" x14ac:dyDescent="0.25">
      <c r="A10012" t="str">
        <f>T("   730290")</f>
        <v xml:space="preserve">   730290</v>
      </c>
      <c r="B10012" t="s">
        <v>369</v>
      </c>
      <c r="C10012">
        <v>13056000</v>
      </c>
      <c r="D10012">
        <v>51000</v>
      </c>
    </row>
    <row r="10013" spans="1:4" x14ac:dyDescent="0.25">
      <c r="A10013" t="str">
        <f>T("   730411")</f>
        <v xml:space="preserve">   730411</v>
      </c>
      <c r="B10013" t="str">
        <f>T("   TUBES ET TUYAUX SANS SOUDURE, EN ACIERS INOXYDABLES, DES TYPES UTILISÉS POUR OLÉODUCS OU GAZODUCS")</f>
        <v xml:space="preserve">   TUBES ET TUYAUX SANS SOUDURE, EN ACIERS INOXYDABLES, DES TYPES UTILISÉS POUR OLÉODUCS OU GAZODUCS</v>
      </c>
      <c r="C10013">
        <v>13800000</v>
      </c>
      <c r="D10013">
        <v>60000</v>
      </c>
    </row>
    <row r="10014" spans="1:4" x14ac:dyDescent="0.25">
      <c r="A10014" t="str">
        <f>T("   730490")</f>
        <v xml:space="preserve">   730490</v>
      </c>
      <c r="B10014" t="str">
        <f>T("   Tubes, tuyaux et profilés creux, sans soudure, de section autre que circulaire, en fer (à l'excl. de la fonte) ou en acier")</f>
        <v xml:space="preserve">   Tubes, tuyaux et profilés creux, sans soudure, de section autre que circulaire, en fer (à l'excl. de la fonte) ou en acier</v>
      </c>
      <c r="C10014">
        <v>3451768</v>
      </c>
      <c r="D10014">
        <v>27300</v>
      </c>
    </row>
    <row r="10015" spans="1:4" x14ac:dyDescent="0.25">
      <c r="A10015" t="str">
        <f>T("   730531")</f>
        <v xml:space="preserve">   730531</v>
      </c>
      <c r="B10015" t="str">
        <f>T("   Tubes et tuyaux, de section circulaire, d'un diamètre extérieur &gt; 406,4 mm, en fer ou en acier, soudés longitudinalement (sauf tubes et tuyaux des types utilisés pour les oléoducs ou gazoducs ou pour l'extraction de pétrole ou de gaz)")</f>
        <v xml:space="preserve">   Tubes et tuyaux, de section circulaire, d'un diamètre extérieur &gt; 406,4 mm, en fer ou en acier, soudés longitudinalement (sauf tubes et tuyaux des types utilisés pour les oléoducs ou gazoducs ou pour l'extraction de pétrole ou de gaz)</v>
      </c>
      <c r="C10015">
        <v>494823</v>
      </c>
      <c r="D10015">
        <v>2296</v>
      </c>
    </row>
    <row r="10016" spans="1:4" x14ac:dyDescent="0.25">
      <c r="A10016" t="str">
        <f>T("   730630")</f>
        <v xml:space="preserve">   730630</v>
      </c>
      <c r="B10016" t="s">
        <v>372</v>
      </c>
      <c r="C10016">
        <v>29831300</v>
      </c>
      <c r="D10016">
        <v>96300</v>
      </c>
    </row>
    <row r="10017" spans="1:4" x14ac:dyDescent="0.25">
      <c r="A10017" t="str">
        <f>T("   730650")</f>
        <v xml:space="preserve">   730650</v>
      </c>
      <c r="B10017" t="s">
        <v>374</v>
      </c>
      <c r="C10017">
        <v>3000000</v>
      </c>
      <c r="D10017">
        <v>10000</v>
      </c>
    </row>
    <row r="10018" spans="1:4" x14ac:dyDescent="0.25">
      <c r="A10018" t="str">
        <f>T("   730661")</f>
        <v xml:space="preserve">   730661</v>
      </c>
      <c r="B10018" t="str">
        <f>T("   TUBES, TUYAUX ET PROFILÉS CREUX SOUDÉS, DE SECTION CARRÉE OU RECTANGULAIRE, EN FER OU EN ACIER")</f>
        <v xml:space="preserve">   TUBES, TUYAUX ET PROFILÉS CREUX SOUDÉS, DE SECTION CARRÉE OU RECTANGULAIRE, EN FER OU EN ACIER</v>
      </c>
      <c r="C10018">
        <v>148372000</v>
      </c>
      <c r="D10018">
        <v>577000</v>
      </c>
    </row>
    <row r="10019" spans="1:4" x14ac:dyDescent="0.25">
      <c r="A10019" t="str">
        <f>T("   730690")</f>
        <v xml:space="preserve">   730690</v>
      </c>
      <c r="B10019"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10019">
        <v>296624000</v>
      </c>
      <c r="D10019">
        <v>1149000</v>
      </c>
    </row>
    <row r="10020" spans="1:4" x14ac:dyDescent="0.25">
      <c r="A10020" t="str">
        <f>T("   730820")</f>
        <v xml:space="preserve">   730820</v>
      </c>
      <c r="B10020" t="str">
        <f>T("   Tours et pylônes, en fer ou en acier")</f>
        <v xml:space="preserve">   Tours et pylônes, en fer ou en acier</v>
      </c>
      <c r="C10020">
        <v>82501083</v>
      </c>
      <c r="D10020">
        <v>73500</v>
      </c>
    </row>
    <row r="10021" spans="1:4" x14ac:dyDescent="0.25">
      <c r="A10021" t="str">
        <f>T("   730840")</f>
        <v xml:space="preserve">   730840</v>
      </c>
      <c r="B10021"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10021">
        <v>143238</v>
      </c>
      <c r="D10021">
        <v>50</v>
      </c>
    </row>
    <row r="10022" spans="1:4" x14ac:dyDescent="0.25">
      <c r="A10022" t="str">
        <f>T("   730890")</f>
        <v xml:space="preserve">   730890</v>
      </c>
      <c r="B10022" t="s">
        <v>376</v>
      </c>
      <c r="C10022">
        <v>2560000</v>
      </c>
      <c r="D10022">
        <v>10000</v>
      </c>
    </row>
    <row r="10023" spans="1:4" x14ac:dyDescent="0.25">
      <c r="A10023" t="str">
        <f>T("   731029")</f>
        <v xml:space="preserve">   731029</v>
      </c>
      <c r="B1002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0023">
        <v>4778646</v>
      </c>
      <c r="D10023">
        <v>7460</v>
      </c>
    </row>
    <row r="10024" spans="1:4" x14ac:dyDescent="0.25">
      <c r="A10024" t="str">
        <f>T("   731439")</f>
        <v xml:space="preserve">   731439</v>
      </c>
      <c r="B10024"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10024">
        <v>26643000</v>
      </c>
      <c r="D10024">
        <v>28800</v>
      </c>
    </row>
    <row r="10025" spans="1:4" x14ac:dyDescent="0.25">
      <c r="A10025" t="str">
        <f>T("   731450")</f>
        <v xml:space="preserve">   731450</v>
      </c>
      <c r="B10025" t="str">
        <f>T("   Tôles et bandes déployées en fer ou en acier")</f>
        <v xml:space="preserve">   Tôles et bandes déployées en fer ou en acier</v>
      </c>
      <c r="C10025">
        <v>492555398</v>
      </c>
      <c r="D10025">
        <v>1873755</v>
      </c>
    </row>
    <row r="10026" spans="1:4" x14ac:dyDescent="0.25">
      <c r="A10026" t="str">
        <f>T("   731700")</f>
        <v xml:space="preserve">   731700</v>
      </c>
      <c r="B10026"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0026">
        <v>41739700</v>
      </c>
      <c r="D10026">
        <v>121883</v>
      </c>
    </row>
    <row r="10027" spans="1:4" x14ac:dyDescent="0.25">
      <c r="A10027" t="str">
        <f>T("   731815")</f>
        <v xml:space="preserve">   731815</v>
      </c>
      <c r="B10027" t="s">
        <v>380</v>
      </c>
      <c r="C10027">
        <v>5460</v>
      </c>
      <c r="D10027">
        <v>150</v>
      </c>
    </row>
    <row r="10028" spans="1:4" x14ac:dyDescent="0.25">
      <c r="A10028" t="str">
        <f>T("   732010")</f>
        <v xml:space="preserve">   732010</v>
      </c>
      <c r="B10028"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10028">
        <v>87384</v>
      </c>
      <c r="D10028">
        <v>10</v>
      </c>
    </row>
    <row r="10029" spans="1:4" x14ac:dyDescent="0.25">
      <c r="A10029" t="str">
        <f>T("   732111")</f>
        <v xml:space="preserve">   732111</v>
      </c>
      <c r="B10029" t="s">
        <v>382</v>
      </c>
      <c r="C10029">
        <v>498228</v>
      </c>
      <c r="D10029">
        <v>3260</v>
      </c>
    </row>
    <row r="10030" spans="1:4" x14ac:dyDescent="0.25">
      <c r="A10030" t="str">
        <f>T("   732310")</f>
        <v xml:space="preserve">   732310</v>
      </c>
      <c r="B10030"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10030">
        <v>13181885</v>
      </c>
      <c r="D10030">
        <v>55270</v>
      </c>
    </row>
    <row r="10031" spans="1:4" x14ac:dyDescent="0.25">
      <c r="A10031" t="str">
        <f>T("   732391")</f>
        <v xml:space="preserve">   732391</v>
      </c>
      <c r="B10031" t="s">
        <v>386</v>
      </c>
      <c r="C10031">
        <v>873840</v>
      </c>
      <c r="D10031">
        <v>500</v>
      </c>
    </row>
    <row r="10032" spans="1:4" x14ac:dyDescent="0.25">
      <c r="A10032" t="str">
        <f>T("   732392")</f>
        <v xml:space="preserve">   732392</v>
      </c>
      <c r="B10032" t="s">
        <v>387</v>
      </c>
      <c r="C10032">
        <v>7015546</v>
      </c>
      <c r="D10032">
        <v>24750</v>
      </c>
    </row>
    <row r="10033" spans="1:4" x14ac:dyDescent="0.25">
      <c r="A10033" t="str">
        <f>T("   732399")</f>
        <v xml:space="preserve">   732399</v>
      </c>
      <c r="B10033" t="s">
        <v>390</v>
      </c>
      <c r="C10033">
        <v>3316226</v>
      </c>
      <c r="D10033">
        <v>13323</v>
      </c>
    </row>
    <row r="10034" spans="1:4" x14ac:dyDescent="0.25">
      <c r="A10034" t="str">
        <f>T("   732429")</f>
        <v xml:space="preserve">   732429</v>
      </c>
      <c r="B10034" t="str">
        <f>T("   Baignoires en tôle d'acier")</f>
        <v xml:space="preserve">   Baignoires en tôle d'acier</v>
      </c>
      <c r="C10034">
        <v>1021848</v>
      </c>
      <c r="D10034">
        <v>5025</v>
      </c>
    </row>
    <row r="10035" spans="1:4" x14ac:dyDescent="0.25">
      <c r="A10035" t="str">
        <f>T("   732490")</f>
        <v xml:space="preserve">   732490</v>
      </c>
      <c r="B10035" t="s">
        <v>391</v>
      </c>
      <c r="C10035">
        <v>39280038</v>
      </c>
      <c r="D10035">
        <v>268120</v>
      </c>
    </row>
    <row r="10036" spans="1:4" x14ac:dyDescent="0.25">
      <c r="A10036" t="str">
        <f>T("   732620")</f>
        <v xml:space="preserve">   732620</v>
      </c>
      <c r="B10036" t="str">
        <f>T("   Ouvrages en fil de fer ou d'acier, n.d.a.")</f>
        <v xml:space="preserve">   Ouvrages en fil de fer ou d'acier, n.d.a.</v>
      </c>
      <c r="C10036">
        <v>1343167</v>
      </c>
      <c r="D10036">
        <v>2710</v>
      </c>
    </row>
    <row r="10037" spans="1:4" x14ac:dyDescent="0.25">
      <c r="A10037" t="str">
        <f>T("   732690")</f>
        <v xml:space="preserve">   732690</v>
      </c>
      <c r="B1003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037">
        <v>532333</v>
      </c>
      <c r="D10037">
        <v>4437</v>
      </c>
    </row>
    <row r="10038" spans="1:4" x14ac:dyDescent="0.25">
      <c r="A10038" t="str">
        <f>T("   741220")</f>
        <v xml:space="preserve">   741220</v>
      </c>
      <c r="B10038" t="str">
        <f>T("   Accessoires de tuyauterie -raccords, coudes, manchons, par exemple-, en alliages de cuivre")</f>
        <v xml:space="preserve">   Accessoires de tuyauterie -raccords, coudes, manchons, par exemple-, en alliages de cuivre</v>
      </c>
      <c r="C10038">
        <v>7680000</v>
      </c>
      <c r="D10038">
        <v>30000</v>
      </c>
    </row>
    <row r="10039" spans="1:4" x14ac:dyDescent="0.25">
      <c r="A10039" t="str">
        <f>T("   741420")</f>
        <v xml:space="preserve">   741420</v>
      </c>
      <c r="B10039" t="s">
        <v>392</v>
      </c>
      <c r="C10039">
        <v>71700000</v>
      </c>
      <c r="D10039">
        <v>239000</v>
      </c>
    </row>
    <row r="10040" spans="1:4" x14ac:dyDescent="0.25">
      <c r="A10040" t="str">
        <f>T("   741510")</f>
        <v xml:space="preserve">   741510</v>
      </c>
      <c r="B10040"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10040">
        <v>2788538</v>
      </c>
      <c r="D10040">
        <v>26180</v>
      </c>
    </row>
    <row r="10041" spans="1:4" x14ac:dyDescent="0.25">
      <c r="A10041" t="str">
        <f>T("   741811")</f>
        <v xml:space="preserve">   741811</v>
      </c>
      <c r="B10041" t="str">
        <f>T("   Eponges, torchons, gants et articles simil. pour le récurage, le polissage et usages analogues, en cuivre (à l'excl. des articles d'hygiène et de toilette)")</f>
        <v xml:space="preserve">   Eponges, torchons, gants et articles simil. pour le récurage, le polissage et usages analogues, en cuivre (à l'excl. des articles d'hygiène et de toilette)</v>
      </c>
      <c r="C10041">
        <v>950000</v>
      </c>
      <c r="D10041">
        <v>4970</v>
      </c>
    </row>
    <row r="10042" spans="1:4" x14ac:dyDescent="0.25">
      <c r="A10042" t="str">
        <f>T("   760120")</f>
        <v xml:space="preserve">   760120</v>
      </c>
      <c r="B10042" t="str">
        <f>T("   Alliages d'aluminium, sous forme brute")</f>
        <v xml:space="preserve">   Alliages d'aluminium, sous forme brute</v>
      </c>
      <c r="C10042">
        <v>53715</v>
      </c>
      <c r="D10042">
        <v>800</v>
      </c>
    </row>
    <row r="10043" spans="1:4" x14ac:dyDescent="0.25">
      <c r="A10043" t="str">
        <f>T("   760410")</f>
        <v xml:space="preserve">   760410</v>
      </c>
      <c r="B10043" t="str">
        <f>T("   BARRES ET PROFILÉS EN ALUMINIUM NON-ALLIÉ, N.D.A.")</f>
        <v xml:space="preserve">   BARRES ET PROFILÉS EN ALUMINIUM NON-ALLIÉ, N.D.A.</v>
      </c>
      <c r="C10043">
        <v>314765</v>
      </c>
      <c r="D10043">
        <v>1542</v>
      </c>
    </row>
    <row r="10044" spans="1:4" x14ac:dyDescent="0.25">
      <c r="A10044" t="str">
        <f>T("   760421")</f>
        <v xml:space="preserve">   760421</v>
      </c>
      <c r="B10044" t="str">
        <f>T("   Profilés creux en alliages d'aluminium, n.d.a.")</f>
        <v xml:space="preserve">   Profilés creux en alliages d'aluminium, n.d.a.</v>
      </c>
      <c r="C10044">
        <v>5905000</v>
      </c>
      <c r="D10044">
        <v>27740</v>
      </c>
    </row>
    <row r="10045" spans="1:4" x14ac:dyDescent="0.25">
      <c r="A10045" t="str">
        <f>T("   760429")</f>
        <v xml:space="preserve">   760429</v>
      </c>
      <c r="B10045" t="str">
        <f>T("   Barres et profilés pleins en alliages d'aluminium, n.d.a.")</f>
        <v xml:space="preserve">   Barres et profilés pleins en alliages d'aluminium, n.d.a.</v>
      </c>
      <c r="C10045">
        <v>9745454</v>
      </c>
      <c r="D10045">
        <v>16151</v>
      </c>
    </row>
    <row r="10046" spans="1:4" x14ac:dyDescent="0.25">
      <c r="A10046" t="str">
        <f>T("   760529")</f>
        <v xml:space="preserve">   760529</v>
      </c>
      <c r="B10046" t="s">
        <v>394</v>
      </c>
      <c r="C10046">
        <v>948640</v>
      </c>
      <c r="D10046">
        <v>2660</v>
      </c>
    </row>
    <row r="10047" spans="1:4" x14ac:dyDescent="0.25">
      <c r="A10047" t="str">
        <f>T("   760691")</f>
        <v xml:space="preserve">   760691</v>
      </c>
      <c r="B10047" t="str">
        <f>T("   Tôles et bandes en aluminium non allié, d'une épaisseur &gt; 0,2 mm, de forme autre que carrée ou rectangulaire")</f>
        <v xml:space="preserve">   Tôles et bandes en aluminium non allié, d'une épaisseur &gt; 0,2 mm, de forme autre que carrée ou rectangulaire</v>
      </c>
      <c r="C10047">
        <v>14727147</v>
      </c>
      <c r="D10047">
        <v>54260</v>
      </c>
    </row>
    <row r="10048" spans="1:4" x14ac:dyDescent="0.25">
      <c r="A10048" t="str">
        <f>T("   761010")</f>
        <v xml:space="preserve">   761010</v>
      </c>
      <c r="B10048" t="str">
        <f>T("   Portes, fenêtres et leurs cadres, chambranles et seuils, en aluminium (sauf pièces de garnissage)")</f>
        <v xml:space="preserve">   Portes, fenêtres et leurs cadres, chambranles et seuils, en aluminium (sauf pièces de garnissage)</v>
      </c>
      <c r="C10048">
        <v>1354451</v>
      </c>
      <c r="D10048">
        <v>2330</v>
      </c>
    </row>
    <row r="10049" spans="1:4" x14ac:dyDescent="0.25">
      <c r="A10049" t="str">
        <f>T("   761090")</f>
        <v xml:space="preserve">   761090</v>
      </c>
      <c r="B1004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0049">
        <v>1321406</v>
      </c>
      <c r="D10049">
        <v>11300</v>
      </c>
    </row>
    <row r="10050" spans="1:4" x14ac:dyDescent="0.25">
      <c r="A10050" t="str">
        <f>T("   761490")</f>
        <v xml:space="preserve">   761490</v>
      </c>
      <c r="B10050" t="s">
        <v>396</v>
      </c>
      <c r="C10050">
        <v>54615</v>
      </c>
      <c r="D10050">
        <v>500</v>
      </c>
    </row>
    <row r="10051" spans="1:4" x14ac:dyDescent="0.25">
      <c r="A10051" t="str">
        <f>T("   761511")</f>
        <v xml:space="preserve">   761511</v>
      </c>
      <c r="B10051"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10051">
        <v>571630</v>
      </c>
      <c r="D10051">
        <v>570</v>
      </c>
    </row>
    <row r="10052" spans="1:4" x14ac:dyDescent="0.25">
      <c r="A10052" t="str">
        <f>T("   761519")</f>
        <v xml:space="preserve">   761519</v>
      </c>
      <c r="B10052" t="s">
        <v>397</v>
      </c>
      <c r="C10052">
        <v>47784158</v>
      </c>
      <c r="D10052">
        <v>133704</v>
      </c>
    </row>
    <row r="10053" spans="1:4" x14ac:dyDescent="0.25">
      <c r="A10053" t="str">
        <f>T("   761520")</f>
        <v xml:space="preserve">   761520</v>
      </c>
      <c r="B10053"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10053">
        <v>33377745</v>
      </c>
      <c r="D10053">
        <v>74829</v>
      </c>
    </row>
    <row r="10054" spans="1:4" x14ac:dyDescent="0.25">
      <c r="A10054" t="str">
        <f>T("   761610")</f>
        <v xml:space="preserve">   761610</v>
      </c>
      <c r="B10054" t="s">
        <v>398</v>
      </c>
      <c r="C10054">
        <v>21249927</v>
      </c>
      <c r="D10054">
        <v>212765</v>
      </c>
    </row>
    <row r="10055" spans="1:4" x14ac:dyDescent="0.25">
      <c r="A10055" t="str">
        <f>T("   761699")</f>
        <v xml:space="preserve">   761699</v>
      </c>
      <c r="B10055" t="str">
        <f>T("   Ouvrages en aluminium, n.d.a.")</f>
        <v xml:space="preserve">   Ouvrages en aluminium, n.d.a.</v>
      </c>
      <c r="C10055">
        <v>17060839</v>
      </c>
      <c r="D10055">
        <v>60577</v>
      </c>
    </row>
    <row r="10056" spans="1:4" x14ac:dyDescent="0.25">
      <c r="A10056" t="str">
        <f>T("   820110")</f>
        <v xml:space="preserve">   820110</v>
      </c>
      <c r="B10056" t="str">
        <f>T("   Bêches et pelles, avec partie travaillante en métaux communs")</f>
        <v xml:space="preserve">   Bêches et pelles, avec partie travaillante en métaux communs</v>
      </c>
      <c r="C10056">
        <v>1543000</v>
      </c>
      <c r="D10056">
        <v>17960</v>
      </c>
    </row>
    <row r="10057" spans="1:4" x14ac:dyDescent="0.25">
      <c r="A10057" t="str">
        <f>T("   820190")</f>
        <v xml:space="preserve">   820190</v>
      </c>
      <c r="B10057" t="s">
        <v>399</v>
      </c>
      <c r="C10057">
        <v>3393756</v>
      </c>
      <c r="D10057">
        <v>16360</v>
      </c>
    </row>
    <row r="10058" spans="1:4" x14ac:dyDescent="0.25">
      <c r="A10058" t="str">
        <f>T("   820210")</f>
        <v xml:space="preserve">   820210</v>
      </c>
      <c r="B10058" t="str">
        <f>T("   Scies à main, avec partie travaillante en métaux communs (à l'excl. des tronçonneuses)")</f>
        <v xml:space="preserve">   Scies à main, avec partie travaillante en métaux communs (à l'excl. des tronçonneuses)</v>
      </c>
      <c r="C10058">
        <v>65538</v>
      </c>
      <c r="D10058">
        <v>30</v>
      </c>
    </row>
    <row r="10059" spans="1:4" x14ac:dyDescent="0.25">
      <c r="A10059" t="str">
        <f>T("   820291")</f>
        <v xml:space="preserve">   820291</v>
      </c>
      <c r="B10059" t="str">
        <f>T("   LAMES DE SCIES DROITES EN METAUX COMMUNS, POUR LE TRAVAIL DES METAUX")</f>
        <v xml:space="preserve">   LAMES DE SCIES DROITES EN METAUX COMMUNS, POUR LE TRAVAIL DES METAUX</v>
      </c>
      <c r="C10059">
        <v>200000</v>
      </c>
      <c r="D10059">
        <v>400</v>
      </c>
    </row>
    <row r="10060" spans="1:4" x14ac:dyDescent="0.25">
      <c r="A10060" t="str">
        <f>T("   820719")</f>
        <v xml:space="preserve">   820719</v>
      </c>
      <c r="B10060"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10060">
        <v>17377480</v>
      </c>
      <c r="D10060">
        <v>13200</v>
      </c>
    </row>
    <row r="10061" spans="1:4" x14ac:dyDescent="0.25">
      <c r="A10061" t="str">
        <f>T("   820790")</f>
        <v xml:space="preserve">   820790</v>
      </c>
      <c r="B10061" t="str">
        <f>T("   Outils interchangeables pour outillage à main, mécanique ou non, ou pour machines-outils, n.d.a.")</f>
        <v xml:space="preserve">   Outils interchangeables pour outillage à main, mécanique ou non, ou pour machines-outils, n.d.a.</v>
      </c>
      <c r="C10061">
        <v>178902</v>
      </c>
      <c r="D10061">
        <v>257</v>
      </c>
    </row>
    <row r="10062" spans="1:4" x14ac:dyDescent="0.25">
      <c r="A10062" t="str">
        <f>T("   821210")</f>
        <v xml:space="preserve">   821210</v>
      </c>
      <c r="B10062" t="str">
        <f>T("   Rasoirs et rasoirs de sûreté non-électriques, en métaux communs")</f>
        <v xml:space="preserve">   Rasoirs et rasoirs de sûreté non-électriques, en métaux communs</v>
      </c>
      <c r="C10062">
        <v>2490000</v>
      </c>
      <c r="D10062">
        <v>6600</v>
      </c>
    </row>
    <row r="10063" spans="1:4" x14ac:dyDescent="0.25">
      <c r="A10063" t="str">
        <f>T("   821410")</f>
        <v xml:space="preserve">   821410</v>
      </c>
      <c r="B10063"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10063">
        <v>21860</v>
      </c>
      <c r="D10063">
        <v>40</v>
      </c>
    </row>
    <row r="10064" spans="1:4" x14ac:dyDescent="0.25">
      <c r="A10064" t="str">
        <f>T("   830140")</f>
        <v xml:space="preserve">   830140</v>
      </c>
      <c r="B10064"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0064">
        <v>19775927</v>
      </c>
      <c r="D10064">
        <v>182517</v>
      </c>
    </row>
    <row r="10065" spans="1:4" x14ac:dyDescent="0.25">
      <c r="A10065" t="str">
        <f>T("   830160")</f>
        <v xml:space="preserve">   830160</v>
      </c>
      <c r="B10065" t="str">
        <f>T("   Parties des cadenas, serrures et verrous, ainsi que des fermoirs et montures-fermoirs, avec serrure, en métaux communs, n.d.a.")</f>
        <v xml:space="preserve">   Parties des cadenas, serrures et verrous, ainsi que des fermoirs et montures-fermoirs, avec serrure, en métaux communs, n.d.a.</v>
      </c>
      <c r="C10065">
        <v>354244</v>
      </c>
      <c r="D10065">
        <v>1500</v>
      </c>
    </row>
    <row r="10066" spans="1:4" x14ac:dyDescent="0.25">
      <c r="A10066" t="str">
        <f>T("   830210")</f>
        <v xml:space="preserve">   830210</v>
      </c>
      <c r="B10066" t="str">
        <f>T("   Charnières de tous genres, y.c. les paumelles et pentures, en métaux communs")</f>
        <v xml:space="preserve">   Charnières de tous genres, y.c. les paumelles et pentures, en métaux communs</v>
      </c>
      <c r="C10066">
        <v>182464</v>
      </c>
      <c r="D10066">
        <v>2606</v>
      </c>
    </row>
    <row r="10067" spans="1:4" x14ac:dyDescent="0.25">
      <c r="A10067" t="str">
        <f>T("   830249")</f>
        <v xml:space="preserve">   830249</v>
      </c>
      <c r="B10067" t="s">
        <v>405</v>
      </c>
      <c r="C10067">
        <v>4000000</v>
      </c>
      <c r="D10067">
        <v>27000</v>
      </c>
    </row>
    <row r="10068" spans="1:4" x14ac:dyDescent="0.25">
      <c r="A10068" t="str">
        <f>T("   830300")</f>
        <v xml:space="preserve">   830300</v>
      </c>
      <c r="B10068"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0068">
        <v>436920</v>
      </c>
      <c r="D10068">
        <v>320</v>
      </c>
    </row>
    <row r="10069" spans="1:4" x14ac:dyDescent="0.25">
      <c r="A10069" t="str">
        <f>T("   830710")</f>
        <v xml:space="preserve">   830710</v>
      </c>
      <c r="B10069" t="str">
        <f>T("   Tuyaux flexibles en fer ou en acier, même avec accessoires")</f>
        <v xml:space="preserve">   Tuyaux flexibles en fer ou en acier, même avec accessoires</v>
      </c>
      <c r="C10069">
        <v>128204410</v>
      </c>
      <c r="D10069">
        <v>375695</v>
      </c>
    </row>
    <row r="10070" spans="1:4" x14ac:dyDescent="0.25">
      <c r="A10070" t="str">
        <f>T("   831130")</f>
        <v xml:space="preserve">   831130</v>
      </c>
      <c r="B10070" t="s">
        <v>409</v>
      </c>
      <c r="C10070">
        <v>24281052</v>
      </c>
      <c r="D10070">
        <v>180820</v>
      </c>
    </row>
    <row r="10071" spans="1:4" x14ac:dyDescent="0.25">
      <c r="A10071" t="str">
        <f>T("   831190")</f>
        <v xml:space="preserve">   831190</v>
      </c>
      <c r="B10071" t="s">
        <v>410</v>
      </c>
      <c r="C10071">
        <v>1758602</v>
      </c>
      <c r="D10071">
        <v>16175</v>
      </c>
    </row>
    <row r="10072" spans="1:4" x14ac:dyDescent="0.25">
      <c r="A10072" t="str">
        <f>T("   840140")</f>
        <v xml:space="preserve">   840140</v>
      </c>
      <c r="B10072" t="str">
        <f>T("   PARTIES DE RÉACTEURS NUCLÉAIRES, N.D.A. 'EURATOM'")</f>
        <v xml:space="preserve">   PARTIES DE RÉACTEURS NUCLÉAIRES, N.D.A. 'EURATOM'</v>
      </c>
      <c r="C10072">
        <v>9831692</v>
      </c>
      <c r="D10072">
        <v>47260</v>
      </c>
    </row>
    <row r="10073" spans="1:4" x14ac:dyDescent="0.25">
      <c r="A10073" t="str">
        <f>T("   840721")</f>
        <v xml:space="preserve">   840721</v>
      </c>
      <c r="B10073" t="s">
        <v>412</v>
      </c>
      <c r="C10073">
        <v>340197</v>
      </c>
      <c r="D10073">
        <v>870</v>
      </c>
    </row>
    <row r="10074" spans="1:4" x14ac:dyDescent="0.25">
      <c r="A10074" t="str">
        <f>T("   840734")</f>
        <v xml:space="preserve">   840734</v>
      </c>
      <c r="B10074" t="s">
        <v>413</v>
      </c>
      <c r="C10074">
        <v>442804</v>
      </c>
      <c r="D10074">
        <v>1710</v>
      </c>
    </row>
    <row r="10075" spans="1:4" x14ac:dyDescent="0.25">
      <c r="A10075" t="str">
        <f>T("   840790")</f>
        <v xml:space="preserve">   840790</v>
      </c>
      <c r="B10075" t="s">
        <v>414</v>
      </c>
      <c r="C10075">
        <v>300000</v>
      </c>
      <c r="D10075">
        <v>1500</v>
      </c>
    </row>
    <row r="10076" spans="1:4" x14ac:dyDescent="0.25">
      <c r="A10076" t="str">
        <f>T("   840820")</f>
        <v xml:space="preserve">   840820</v>
      </c>
      <c r="B10076" t="s">
        <v>415</v>
      </c>
      <c r="C10076">
        <v>442804</v>
      </c>
      <c r="D10076">
        <v>3430</v>
      </c>
    </row>
    <row r="10077" spans="1:4" x14ac:dyDescent="0.25">
      <c r="A10077" t="str">
        <f>T("   840890")</f>
        <v xml:space="preserve">   840890</v>
      </c>
      <c r="B10077" t="s">
        <v>416</v>
      </c>
      <c r="C10077">
        <v>1785981</v>
      </c>
      <c r="D10077">
        <v>5640</v>
      </c>
    </row>
    <row r="10078" spans="1:4" x14ac:dyDescent="0.25">
      <c r="A10078" t="str">
        <f>T("   840991")</f>
        <v xml:space="preserve">   840991</v>
      </c>
      <c r="B10078"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10078">
        <v>1416974</v>
      </c>
      <c r="D10078">
        <v>3300</v>
      </c>
    </row>
    <row r="10079" spans="1:4" x14ac:dyDescent="0.25">
      <c r="A10079" t="str">
        <f>T("   841210")</f>
        <v xml:space="preserve">   841210</v>
      </c>
      <c r="B10079" t="str">
        <f>T("   Propulseurs à réaction autres que les turboréacteurs")</f>
        <v xml:space="preserve">   Propulseurs à réaction autres que les turboréacteurs</v>
      </c>
      <c r="C10079">
        <v>1969564</v>
      </c>
      <c r="D10079">
        <v>2160</v>
      </c>
    </row>
    <row r="10080" spans="1:4" x14ac:dyDescent="0.25">
      <c r="A10080" t="str">
        <f>T("   841280")</f>
        <v xml:space="preserve">   841280</v>
      </c>
      <c r="B10080"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10080">
        <v>4263536</v>
      </c>
      <c r="D10080">
        <v>1000</v>
      </c>
    </row>
    <row r="10081" spans="1:4" x14ac:dyDescent="0.25">
      <c r="A10081" t="str">
        <f>T("   841330")</f>
        <v xml:space="preserve">   841330</v>
      </c>
      <c r="B1008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0081">
        <v>88559</v>
      </c>
      <c r="D10081">
        <v>200</v>
      </c>
    </row>
    <row r="10082" spans="1:4" x14ac:dyDescent="0.25">
      <c r="A10082" t="str">
        <f>T("   841382")</f>
        <v xml:space="preserve">   841382</v>
      </c>
      <c r="B10082" t="str">
        <f>T("   Elévateurs à liquides (à l'excl. des pompes)")</f>
        <v xml:space="preserve">   Elévateurs à liquides (à l'excl. des pompes)</v>
      </c>
      <c r="C10082">
        <v>179050</v>
      </c>
      <c r="D10082">
        <v>1420</v>
      </c>
    </row>
    <row r="10083" spans="1:4" x14ac:dyDescent="0.25">
      <c r="A10083" t="str">
        <f>T("   841391")</f>
        <v xml:space="preserve">   841391</v>
      </c>
      <c r="B10083" t="str">
        <f>T("   Parties de pompes pour liquides, n.d.a.")</f>
        <v xml:space="preserve">   Parties de pompes pour liquides, n.d.a.</v>
      </c>
      <c r="C10083">
        <v>289219</v>
      </c>
      <c r="D10083">
        <v>2</v>
      </c>
    </row>
    <row r="10084" spans="1:4" x14ac:dyDescent="0.25">
      <c r="A10084" t="str">
        <f>T("   841392")</f>
        <v xml:space="preserve">   841392</v>
      </c>
      <c r="B10084" t="str">
        <f>T("   Parties d'élévateurs à liquides, n.d.a.")</f>
        <v xml:space="preserve">   Parties d'élévateurs à liquides, n.d.a.</v>
      </c>
      <c r="C10084">
        <v>268577</v>
      </c>
      <c r="D10084">
        <v>230</v>
      </c>
    </row>
    <row r="10085" spans="1:4" x14ac:dyDescent="0.25">
      <c r="A10085" t="str">
        <f>T("   841420")</f>
        <v xml:space="preserve">   841420</v>
      </c>
      <c r="B10085" t="str">
        <f>T("   Pompes à air, à main ou à pied")</f>
        <v xml:space="preserve">   Pompes à air, à main ou à pied</v>
      </c>
      <c r="C10085">
        <v>2514000</v>
      </c>
      <c r="D10085">
        <v>2048</v>
      </c>
    </row>
    <row r="10086" spans="1:4" x14ac:dyDescent="0.25">
      <c r="A10086" t="str">
        <f>T("   841430")</f>
        <v xml:space="preserve">   841430</v>
      </c>
      <c r="B10086" t="str">
        <f>T("   Compresseurs des types utilisés pour équipements frigorifiques")</f>
        <v xml:space="preserve">   Compresseurs des types utilisés pour équipements frigorifiques</v>
      </c>
      <c r="C10086">
        <v>705790</v>
      </c>
      <c r="D10086">
        <v>352</v>
      </c>
    </row>
    <row r="10087" spans="1:4" x14ac:dyDescent="0.25">
      <c r="A10087" t="str">
        <f>T("   841440")</f>
        <v xml:space="preserve">   841440</v>
      </c>
      <c r="B10087" t="str">
        <f>T("   Compresseurs d'air montés sur châssis à roues et remorquables")</f>
        <v xml:space="preserve">   Compresseurs d'air montés sur châssis à roues et remorquables</v>
      </c>
      <c r="C10087">
        <v>118082</v>
      </c>
      <c r="D10087">
        <v>100</v>
      </c>
    </row>
    <row r="10088" spans="1:4" x14ac:dyDescent="0.25">
      <c r="A10088" t="str">
        <f>T("   841451")</f>
        <v xml:space="preserve">   841451</v>
      </c>
      <c r="B10088"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10088">
        <v>8159350</v>
      </c>
      <c r="D10088">
        <v>21938</v>
      </c>
    </row>
    <row r="10089" spans="1:4" x14ac:dyDescent="0.25">
      <c r="A10089" t="str">
        <f>T("   841459")</f>
        <v xml:space="preserve">   841459</v>
      </c>
      <c r="B10089"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0089">
        <v>87669</v>
      </c>
      <c r="D10089">
        <v>54</v>
      </c>
    </row>
    <row r="10090" spans="1:4" x14ac:dyDescent="0.25">
      <c r="A10090" t="str">
        <f>T("   841510")</f>
        <v xml:space="preserve">   841510</v>
      </c>
      <c r="B10090" t="s">
        <v>422</v>
      </c>
      <c r="C10090">
        <v>1147032</v>
      </c>
      <c r="D10090">
        <v>609</v>
      </c>
    </row>
    <row r="10091" spans="1:4" x14ac:dyDescent="0.25">
      <c r="A10091" t="str">
        <f>T("   841620")</f>
        <v xml:space="preserve">   841620</v>
      </c>
      <c r="B10091" t="str">
        <f>T("   Brûleurs pour l'alimentation des foyers à combustibles solides pulvérisés ou à gaz, y.c. les brûleurs mixtes")</f>
        <v xml:space="preserve">   Brûleurs pour l'alimentation des foyers à combustibles solides pulvérisés ou à gaz, y.c. les brûleurs mixtes</v>
      </c>
      <c r="C10091">
        <v>3035810</v>
      </c>
      <c r="D10091">
        <v>5920</v>
      </c>
    </row>
    <row r="10092" spans="1:4" x14ac:dyDescent="0.25">
      <c r="A10092" t="str">
        <f>T("   841720")</f>
        <v xml:space="preserve">   841720</v>
      </c>
      <c r="B10092" t="str">
        <f>T("   Fours non-électriques, de boulangerie, de pâtisserie ou de biscuiterie")</f>
        <v xml:space="preserve">   Fours non-électriques, de boulangerie, de pâtisserie ou de biscuiterie</v>
      </c>
      <c r="C10092">
        <v>179053</v>
      </c>
      <c r="D10092">
        <v>1600</v>
      </c>
    </row>
    <row r="10093" spans="1:4" x14ac:dyDescent="0.25">
      <c r="A10093" t="str">
        <f>T("   841810")</f>
        <v xml:space="preserve">   841810</v>
      </c>
      <c r="B10093" t="str">
        <f>T("   Réfrigérateurs et congélateurs-conservateurs combinés, avec portes extérieures séparées")</f>
        <v xml:space="preserve">   Réfrigérateurs et congélateurs-conservateurs combinés, avec portes extérieures séparées</v>
      </c>
      <c r="C10093">
        <v>262152</v>
      </c>
      <c r="D10093">
        <v>395</v>
      </c>
    </row>
    <row r="10094" spans="1:4" x14ac:dyDescent="0.25">
      <c r="A10094" t="str">
        <f>T("   841821")</f>
        <v xml:space="preserve">   841821</v>
      </c>
      <c r="B10094" t="str">
        <f>T("   Réfrigérateurs ménagers à compression")</f>
        <v xml:space="preserve">   Réfrigérateurs ménagers à compression</v>
      </c>
      <c r="C10094">
        <v>1315103</v>
      </c>
      <c r="D10094">
        <v>1220</v>
      </c>
    </row>
    <row r="10095" spans="1:4" x14ac:dyDescent="0.25">
      <c r="A10095" t="str">
        <f>T("   841829")</f>
        <v xml:space="preserve">   841829</v>
      </c>
      <c r="B10095" t="str">
        <f>T("   Réfrigérateurs ménagers à absorption, non-électriques")</f>
        <v xml:space="preserve">   Réfrigérateurs ménagers à absorption, non-électriques</v>
      </c>
      <c r="C10095">
        <v>3849410</v>
      </c>
      <c r="D10095">
        <v>12191</v>
      </c>
    </row>
    <row r="10096" spans="1:4" x14ac:dyDescent="0.25">
      <c r="A10096" t="str">
        <f>T("   841911")</f>
        <v xml:space="preserve">   841911</v>
      </c>
      <c r="B10096" t="str">
        <f>T("   Chauffe-eau à chauffage instantané, à gaz (à l'excl. des chaudières ou générateurs mixtes pour chauffage central)")</f>
        <v xml:space="preserve">   Chauffe-eau à chauffage instantané, à gaz (à l'excl. des chaudières ou générateurs mixtes pour chauffage central)</v>
      </c>
      <c r="C10096">
        <v>1086000</v>
      </c>
      <c r="D10096">
        <v>850</v>
      </c>
    </row>
    <row r="10097" spans="1:4" x14ac:dyDescent="0.25">
      <c r="A10097" t="str">
        <f>T("   842121")</f>
        <v xml:space="preserve">   842121</v>
      </c>
      <c r="B10097" t="str">
        <f>T("   Appareils pour la filtration ou l'épuration des eaux")</f>
        <v xml:space="preserve">   Appareils pour la filtration ou l'épuration des eaux</v>
      </c>
      <c r="C10097">
        <v>71625</v>
      </c>
      <c r="D10097">
        <v>650</v>
      </c>
    </row>
    <row r="10098" spans="1:4" x14ac:dyDescent="0.25">
      <c r="A10098" t="str">
        <f>T("   842122")</f>
        <v xml:space="preserve">   842122</v>
      </c>
      <c r="B10098" t="str">
        <f>T("   Appareils pour la filtration ou l'épuration des boissons (autres que l'eau)")</f>
        <v xml:space="preserve">   Appareils pour la filtration ou l'épuration des boissons (autres que l'eau)</v>
      </c>
      <c r="C10098">
        <v>300000</v>
      </c>
      <c r="D10098">
        <v>58</v>
      </c>
    </row>
    <row r="10099" spans="1:4" x14ac:dyDescent="0.25">
      <c r="A10099" t="str">
        <f>T("   842330")</f>
        <v xml:space="preserve">   842330</v>
      </c>
      <c r="B10099"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10099">
        <v>3500000</v>
      </c>
      <c r="D10099">
        <v>13030</v>
      </c>
    </row>
    <row r="10100" spans="1:4" x14ac:dyDescent="0.25">
      <c r="A10100" t="str">
        <f>T("   842410")</f>
        <v xml:space="preserve">   842410</v>
      </c>
      <c r="B10100" t="str">
        <f>T("   Extincteurs mécaniques, même chargés (sauf bombes et grenades d'extinction d'incendie)")</f>
        <v xml:space="preserve">   Extincteurs mécaniques, même chargés (sauf bombes et grenades d'extinction d'incendie)</v>
      </c>
      <c r="C10100">
        <v>5372</v>
      </c>
      <c r="D10100">
        <v>38</v>
      </c>
    </row>
    <row r="10101" spans="1:4" x14ac:dyDescent="0.25">
      <c r="A10101" t="str">
        <f>T("   842481")</f>
        <v xml:space="preserve">   842481</v>
      </c>
      <c r="B10101"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10101">
        <v>71620</v>
      </c>
      <c r="D10101">
        <v>380</v>
      </c>
    </row>
    <row r="10102" spans="1:4" x14ac:dyDescent="0.25">
      <c r="A10102" t="str">
        <f>T("   842489")</f>
        <v xml:space="preserve">   842489</v>
      </c>
      <c r="B10102"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10102">
        <v>5000000</v>
      </c>
      <c r="D10102">
        <v>10087</v>
      </c>
    </row>
    <row r="10103" spans="1:4" x14ac:dyDescent="0.25">
      <c r="A10103" t="str">
        <f>T("   842649")</f>
        <v xml:space="preserve">   842649</v>
      </c>
      <c r="B10103" t="str">
        <f>T("   Bigues et chariots-grues et appareils autopropulsés (autres que sur pneumatiques et sauf chariots-cavaliers)")</f>
        <v xml:space="preserve">   Bigues et chariots-grues et appareils autopropulsés (autres que sur pneumatiques et sauf chariots-cavaliers)</v>
      </c>
      <c r="C10103">
        <v>186812980</v>
      </c>
      <c r="D10103">
        <v>133520</v>
      </c>
    </row>
    <row r="10104" spans="1:4" x14ac:dyDescent="0.25">
      <c r="A10104" t="str">
        <f>T("   842710")</f>
        <v xml:space="preserve">   842710</v>
      </c>
      <c r="B10104" t="str">
        <f>T("   Chariots de manutention autopropulsés à moteur électrique, avec dispositif de levage")</f>
        <v xml:space="preserve">   Chariots de manutention autopropulsés à moteur électrique, avec dispositif de levage</v>
      </c>
      <c r="C10104">
        <v>3500000</v>
      </c>
      <c r="D10104">
        <v>3643</v>
      </c>
    </row>
    <row r="10105" spans="1:4" x14ac:dyDescent="0.25">
      <c r="A10105" t="str">
        <f>T("   842790")</f>
        <v xml:space="preserve">   842790</v>
      </c>
      <c r="B10105" t="str">
        <f>T("   Chariots de manutention munis d'un dispositif de levage mais non autopropulsés")</f>
        <v xml:space="preserve">   Chariots de manutention munis d'un dispositif de levage mais non autopropulsés</v>
      </c>
      <c r="C10105">
        <v>138525512</v>
      </c>
      <c r="D10105">
        <v>78450</v>
      </c>
    </row>
    <row r="10106" spans="1:4" x14ac:dyDescent="0.25">
      <c r="A10106" t="str">
        <f>T("   842911")</f>
        <v xml:space="preserve">   842911</v>
      </c>
      <c r="B10106" t="str">
        <f>T("   Bouteurs 'bulldozers' et bouteurs biais 'angledozers', à chenilles")</f>
        <v xml:space="preserve">   Bouteurs 'bulldozers' et bouteurs biais 'angledozers', à chenilles</v>
      </c>
      <c r="C10106">
        <v>42000000</v>
      </c>
      <c r="D10106">
        <v>58412</v>
      </c>
    </row>
    <row r="10107" spans="1:4" x14ac:dyDescent="0.25">
      <c r="A10107" t="str">
        <f>T("   842920")</f>
        <v xml:space="preserve">   842920</v>
      </c>
      <c r="B10107" t="str">
        <f>T("   Niveleuses autopropulsées")</f>
        <v xml:space="preserve">   Niveleuses autopropulsées</v>
      </c>
      <c r="C10107">
        <v>82383041</v>
      </c>
      <c r="D10107">
        <v>25000</v>
      </c>
    </row>
    <row r="10108" spans="1:4" x14ac:dyDescent="0.25">
      <c r="A10108" t="str">
        <f>T("   842940")</f>
        <v xml:space="preserve">   842940</v>
      </c>
      <c r="B10108" t="str">
        <f>T("   Rouleaux compresseurs et autres compacteuses, autopropulsés")</f>
        <v xml:space="preserve">   Rouleaux compresseurs et autres compacteuses, autopropulsés</v>
      </c>
      <c r="C10108">
        <v>7158102</v>
      </c>
      <c r="D10108">
        <v>8200</v>
      </c>
    </row>
    <row r="10109" spans="1:4" x14ac:dyDescent="0.25">
      <c r="A10109" t="str">
        <f>T("   842951")</f>
        <v xml:space="preserve">   842951</v>
      </c>
      <c r="B10109" t="str">
        <f>T("   Chargeuses et chargeuses-pelleteuses, à chargement frontal, autopropulsées")</f>
        <v xml:space="preserve">   Chargeuses et chargeuses-pelleteuses, à chargement frontal, autopropulsées</v>
      </c>
      <c r="C10109">
        <v>52925340</v>
      </c>
      <c r="D10109">
        <v>244350</v>
      </c>
    </row>
    <row r="10110" spans="1:4" x14ac:dyDescent="0.25">
      <c r="A10110" t="str">
        <f>T("   842959")</f>
        <v xml:space="preserve">   842959</v>
      </c>
      <c r="B1011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110">
        <v>145541431</v>
      </c>
      <c r="D10110">
        <v>263815</v>
      </c>
    </row>
    <row r="10111" spans="1:4" x14ac:dyDescent="0.25">
      <c r="A10111" t="str">
        <f>T("   843041")</f>
        <v xml:space="preserve">   843041</v>
      </c>
      <c r="B10111" t="s">
        <v>433</v>
      </c>
      <c r="C10111">
        <v>4489959</v>
      </c>
      <c r="D10111">
        <v>10000</v>
      </c>
    </row>
    <row r="10112" spans="1:4" x14ac:dyDescent="0.25">
      <c r="A10112" t="str">
        <f>T("   843069")</f>
        <v xml:space="preserve">   843069</v>
      </c>
      <c r="B10112"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10112">
        <v>15600000</v>
      </c>
      <c r="D10112">
        <v>14500</v>
      </c>
    </row>
    <row r="10113" spans="1:4" x14ac:dyDescent="0.25">
      <c r="A10113" t="str">
        <f>T("   843280")</f>
        <v xml:space="preserve">   843280</v>
      </c>
      <c r="B10113" t="s">
        <v>434</v>
      </c>
      <c r="C10113">
        <v>1400000</v>
      </c>
      <c r="D10113">
        <v>8000</v>
      </c>
    </row>
    <row r="10114" spans="1:4" x14ac:dyDescent="0.25">
      <c r="A10114" t="str">
        <f>T("   843359")</f>
        <v xml:space="preserve">   843359</v>
      </c>
      <c r="B10114" t="s">
        <v>435</v>
      </c>
      <c r="C10114">
        <v>2000000</v>
      </c>
      <c r="D10114">
        <v>1200</v>
      </c>
    </row>
    <row r="10115" spans="1:4" x14ac:dyDescent="0.25">
      <c r="A10115" t="str">
        <f>T("   843810")</f>
        <v xml:space="preserve">   843810</v>
      </c>
      <c r="B10115" t="s">
        <v>440</v>
      </c>
      <c r="C10115">
        <v>3500000</v>
      </c>
      <c r="D10115">
        <v>15100</v>
      </c>
    </row>
    <row r="10116" spans="1:4" x14ac:dyDescent="0.25">
      <c r="A10116" t="str">
        <f>T("   843830")</f>
        <v xml:space="preserve">   843830</v>
      </c>
      <c r="B10116" t="str">
        <f>T("   Machines et appareils pour la fabrication industrielle de sucre (sauf centrifugeuses et sauf appareils de filtrage, appareils thermiques et appareils de refroidissement)")</f>
        <v xml:space="preserve">   Machines et appareils pour la fabrication industrielle de sucre (sauf centrifugeuses et sauf appareils de filtrage, appareils thermiques et appareils de refroidissement)</v>
      </c>
      <c r="C10116">
        <v>286482</v>
      </c>
      <c r="D10116">
        <v>680</v>
      </c>
    </row>
    <row r="10117" spans="1:4" x14ac:dyDescent="0.25">
      <c r="A10117" t="str">
        <f>T("   843880")</f>
        <v xml:space="preserve">   843880</v>
      </c>
      <c r="B10117" t="str">
        <f>T("   Machines et appareils pour la préparation ou la fabrication industrielles d'aliments ou de boissons, n.d.a.")</f>
        <v xml:space="preserve">   Machines et appareils pour la préparation ou la fabrication industrielles d'aliments ou de boissons, n.d.a.</v>
      </c>
      <c r="C10117">
        <v>18649960</v>
      </c>
      <c r="D10117">
        <v>62000</v>
      </c>
    </row>
    <row r="10118" spans="1:4" x14ac:dyDescent="0.25">
      <c r="A10118" t="str">
        <f>T("   843920")</f>
        <v xml:space="preserve">   843920</v>
      </c>
      <c r="B10118" t="str">
        <f>T("   Machines et appareils pour la fabrication du papier ou du carton (autres que les installations de séchage et autres appareils thermiques, calandres et machines et appareils pour la fabrication de la pâte à papier)")</f>
        <v xml:space="preserve">   Machines et appareils pour la fabrication du papier ou du carton (autres que les installations de séchage et autres appareils thermiques, calandres et machines et appareils pour la fabrication de la pâte à papier)</v>
      </c>
      <c r="C10118">
        <v>250670</v>
      </c>
      <c r="D10118">
        <v>372</v>
      </c>
    </row>
    <row r="10119" spans="1:4" x14ac:dyDescent="0.25">
      <c r="A10119" t="str">
        <f>T("   844391")</f>
        <v xml:space="preserve">   844391</v>
      </c>
      <c r="B10119" t="str">
        <f>T("   PARTIES ET ACCESSOIRES DE MACHINES ET D'APPAREILS SERVANT À L'IMPRESSION AU MOYEN DE PLANCHES, CYLINDRES ET AUTRES ORGANES IMPRIMANTS DU N° 8442")</f>
        <v xml:space="preserve">   PARTIES ET ACCESSOIRES DE MACHINES ET D'APPAREILS SERVANT À L'IMPRESSION AU MOYEN DE PLANCHES, CYLINDRES ET AUTRES ORGANES IMPRIMANTS DU N° 8442</v>
      </c>
      <c r="C10119">
        <v>1074306</v>
      </c>
      <c r="D10119">
        <v>3020</v>
      </c>
    </row>
    <row r="10120" spans="1:4" x14ac:dyDescent="0.25">
      <c r="A10120" t="str">
        <f>T("   844399")</f>
        <v xml:space="preserve">   844399</v>
      </c>
      <c r="B10120" t="str">
        <f>T("   PARTIES ET ACCESSOIRES D'IMPRIMANTES, DE MACHINES À COPIER ET DE MACHINES À TÉLÉCOPIER, N.D.A. (À L'EXCL. DE MACHINES ET D'APPAREILS SERVANT À L'IMPRESSION AU MOYEN DE PLANCHES, CYLINDRES ET AUTRES ORGANES IMPRIMANTS DU N° 8442)")</f>
        <v xml:space="preserve">   PARTIES ET ACCESSOIRES D'IMPRIMANTES, DE MACHINES À COPIER ET DE MACHINES À TÉLÉCOPIER, N.D.A. (À L'EXCL. DE MACHINES ET D'APPAREILS SERVANT À L'IMPRESSION AU MOYEN DE PLANCHES, CYLINDRES ET AUTRES ORGANES IMPRIMANTS DU N° 8442)</v>
      </c>
      <c r="C10120">
        <v>90403</v>
      </c>
      <c r="D10120">
        <v>256</v>
      </c>
    </row>
    <row r="10121" spans="1:4" x14ac:dyDescent="0.25">
      <c r="A10121" t="str">
        <f>T("   844720")</f>
        <v xml:space="preserve">   844720</v>
      </c>
      <c r="B10121" t="str">
        <f>T("   Métiers à bonneterie rectilignes; machines de couture-tricotage")</f>
        <v xml:space="preserve">   Métiers à bonneterie rectilignes; machines de couture-tricotage</v>
      </c>
      <c r="C10121">
        <v>300000</v>
      </c>
      <c r="D10121">
        <v>950</v>
      </c>
    </row>
    <row r="10122" spans="1:4" x14ac:dyDescent="0.25">
      <c r="A10122" t="str">
        <f>T("   844831")</f>
        <v xml:space="preserve">   844831</v>
      </c>
      <c r="B10122" t="str">
        <f>T("   GARNITURES DE CARDÉS DE MACHINES POUR LA PRÉPARATION DES MATIÈRES TEXTILES")</f>
        <v xml:space="preserve">   GARNITURES DE CARDÉS DE MACHINES POUR LA PRÉPARATION DES MATIÈRES TEXTILES</v>
      </c>
      <c r="C10122">
        <v>179043</v>
      </c>
      <c r="D10122">
        <v>520</v>
      </c>
    </row>
    <row r="10123" spans="1:4" x14ac:dyDescent="0.25">
      <c r="A10123" t="str">
        <f>T("   845110")</f>
        <v xml:space="preserve">   845110</v>
      </c>
      <c r="B10123" t="str">
        <f>T("   Machines pour le nettoyage à sec de matières textiles")</f>
        <v xml:space="preserve">   Machines pour le nettoyage à sec de matières textiles</v>
      </c>
      <c r="C10123">
        <v>107431</v>
      </c>
      <c r="D10123">
        <v>80</v>
      </c>
    </row>
    <row r="10124" spans="1:4" x14ac:dyDescent="0.25">
      <c r="A10124" t="str">
        <f>T("   845210")</f>
        <v xml:space="preserve">   845210</v>
      </c>
      <c r="B10124" t="str">
        <f>T("   Machines à coudre de type ménager")</f>
        <v xml:space="preserve">   Machines à coudre de type ménager</v>
      </c>
      <c r="C10124">
        <v>3579265</v>
      </c>
      <c r="D10124">
        <v>8900</v>
      </c>
    </row>
    <row r="10125" spans="1:4" x14ac:dyDescent="0.25">
      <c r="A10125" t="str">
        <f>T("   845221")</f>
        <v xml:space="preserve">   845221</v>
      </c>
      <c r="B10125" t="str">
        <f>T("   Unités automatiques de machines à coudre, de type industriel")</f>
        <v xml:space="preserve">   Unités automatiques de machines à coudre, de type industriel</v>
      </c>
      <c r="C10125">
        <v>143243</v>
      </c>
      <c r="D10125">
        <v>1200</v>
      </c>
    </row>
    <row r="10126" spans="1:4" x14ac:dyDescent="0.25">
      <c r="A10126" t="str">
        <f>T("   845229")</f>
        <v xml:space="preserve">   845229</v>
      </c>
      <c r="B10126" t="str">
        <f>T("   Machines à coudre de type industriel (sauf unités automatiques)")</f>
        <v xml:space="preserve">   Machines à coudre de type industriel (sauf unités automatiques)</v>
      </c>
      <c r="C10126">
        <v>1000000</v>
      </c>
      <c r="D10126">
        <v>2130</v>
      </c>
    </row>
    <row r="10127" spans="1:4" x14ac:dyDescent="0.25">
      <c r="A10127" t="str">
        <f>T("   846229")</f>
        <v xml:space="preserve">   846229</v>
      </c>
      <c r="B10127"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10127">
        <v>5908162</v>
      </c>
      <c r="D10127">
        <v>25740</v>
      </c>
    </row>
    <row r="10128" spans="1:4" x14ac:dyDescent="0.25">
      <c r="A10128" t="str">
        <f>T("   846390")</f>
        <v xml:space="preserve">   846390</v>
      </c>
      <c r="B10128" t="s">
        <v>451</v>
      </c>
      <c r="C10128">
        <v>2500000</v>
      </c>
      <c r="D10128">
        <v>900</v>
      </c>
    </row>
    <row r="10129" spans="1:4" x14ac:dyDescent="0.25">
      <c r="A10129" t="str">
        <f>T("   846591")</f>
        <v xml:space="preserve">   846591</v>
      </c>
      <c r="B10129" t="str">
        <f>T("   Machines à scier, pour le travail du bois, des matières plastiques dures, etc. (autres que pour emploi à la main)")</f>
        <v xml:space="preserve">   Machines à scier, pour le travail du bois, des matières plastiques dures, etc. (autres que pour emploi à la main)</v>
      </c>
      <c r="C10129">
        <v>35810</v>
      </c>
      <c r="D10129">
        <v>1250</v>
      </c>
    </row>
    <row r="10130" spans="1:4" x14ac:dyDescent="0.25">
      <c r="A10130" t="str">
        <f>T("   846691")</f>
        <v xml:space="preserve">   846691</v>
      </c>
      <c r="B10130"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10130">
        <v>4000000</v>
      </c>
      <c r="D10130">
        <v>2960</v>
      </c>
    </row>
    <row r="10131" spans="1:4" x14ac:dyDescent="0.25">
      <c r="A10131" t="str">
        <f>T("   846789")</f>
        <v xml:space="preserve">   846789</v>
      </c>
      <c r="B10131"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10131">
        <v>214861</v>
      </c>
      <c r="D10131">
        <v>500</v>
      </c>
    </row>
    <row r="10132" spans="1:4" x14ac:dyDescent="0.25">
      <c r="A10132" t="str">
        <f>T("   847010")</f>
        <v xml:space="preserve">   847010</v>
      </c>
      <c r="B10132" t="s">
        <v>457</v>
      </c>
      <c r="C10132">
        <v>1609049</v>
      </c>
      <c r="D10132">
        <v>12018</v>
      </c>
    </row>
    <row r="10133" spans="1:4" x14ac:dyDescent="0.25">
      <c r="A10133" t="str">
        <f>T("   847110")</f>
        <v xml:space="preserve">   847110</v>
      </c>
      <c r="B10133" t="str">
        <f>T("   Machines automatiques de traitement de l'information, analogiques ou hybrides")</f>
        <v xml:space="preserve">   Machines automatiques de traitement de l'information, analogiques ou hybrides</v>
      </c>
      <c r="C10133">
        <v>1529905</v>
      </c>
      <c r="D10133">
        <v>165</v>
      </c>
    </row>
    <row r="10134" spans="1:4" x14ac:dyDescent="0.25">
      <c r="A10134" t="str">
        <f>T("   847130")</f>
        <v xml:space="preserve">   847130</v>
      </c>
      <c r="B1013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0134">
        <v>2345578</v>
      </c>
      <c r="D10134">
        <v>2629</v>
      </c>
    </row>
    <row r="10135" spans="1:4" x14ac:dyDescent="0.25">
      <c r="A10135" t="str">
        <f>T("   847180")</f>
        <v xml:space="preserve">   847180</v>
      </c>
      <c r="B1013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135">
        <v>17905</v>
      </c>
      <c r="D10135">
        <v>80</v>
      </c>
    </row>
    <row r="10136" spans="1:4" x14ac:dyDescent="0.25">
      <c r="A10136" t="str">
        <f>T("   847190")</f>
        <v xml:space="preserve">   847190</v>
      </c>
      <c r="B1013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136">
        <v>35805</v>
      </c>
      <c r="D10136">
        <v>90</v>
      </c>
    </row>
    <row r="10137" spans="1:4" x14ac:dyDescent="0.25">
      <c r="A10137" t="str">
        <f>T("   847330")</f>
        <v xml:space="preserve">   847330</v>
      </c>
      <c r="B10137" t="str">
        <f>T("   Parties et accessoires pour machines automatiques de traitement de l'information ou pour autres machines du n° 8471, n.d.a.")</f>
        <v xml:space="preserve">   Parties et accessoires pour machines automatiques de traitement de l'information ou pour autres machines du n° 8471, n.d.a.</v>
      </c>
      <c r="C10137">
        <v>143245</v>
      </c>
      <c r="D10137">
        <v>300</v>
      </c>
    </row>
    <row r="10138" spans="1:4" x14ac:dyDescent="0.25">
      <c r="A10138" t="str">
        <f>T("   847420")</f>
        <v xml:space="preserve">   847420</v>
      </c>
      <c r="B10138" t="str">
        <f>T("   Machines et appareils à concasser, broyer ou pulvériser les matières minérales solides")</f>
        <v xml:space="preserve">   Machines et appareils à concasser, broyer ou pulvériser les matières minérales solides</v>
      </c>
      <c r="C10138">
        <v>23721257</v>
      </c>
      <c r="D10138">
        <v>45630</v>
      </c>
    </row>
    <row r="10139" spans="1:4" x14ac:dyDescent="0.25">
      <c r="A10139" t="str">
        <f>T("   847431")</f>
        <v xml:space="preserve">   847431</v>
      </c>
      <c r="B1013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139">
        <v>644589</v>
      </c>
      <c r="D10139">
        <v>1120</v>
      </c>
    </row>
    <row r="10140" spans="1:4" x14ac:dyDescent="0.25">
      <c r="A10140" t="str">
        <f>T("   847439")</f>
        <v xml:space="preserve">   847439</v>
      </c>
      <c r="B10140"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0140">
        <v>9000000</v>
      </c>
      <c r="D10140">
        <v>12230</v>
      </c>
    </row>
    <row r="10141" spans="1:4" x14ac:dyDescent="0.25">
      <c r="A10141" t="str">
        <f>T("   847490")</f>
        <v xml:space="preserve">   847490</v>
      </c>
      <c r="B10141" t="str">
        <f>T("   Parties des machines et appareils pour le travail des matières minérales du n° 8474, n.d.a.")</f>
        <v xml:space="preserve">   Parties des machines et appareils pour le travail des matières minérales du n° 8474, n.d.a.</v>
      </c>
      <c r="C10141">
        <v>47303185</v>
      </c>
      <c r="D10141">
        <v>32840</v>
      </c>
    </row>
    <row r="10142" spans="1:4" x14ac:dyDescent="0.25">
      <c r="A10142" t="str">
        <f>T("   847780")</f>
        <v xml:space="preserve">   847780</v>
      </c>
      <c r="B10142"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10142">
        <v>465529</v>
      </c>
      <c r="D10142">
        <v>1450</v>
      </c>
    </row>
    <row r="10143" spans="1:4" x14ac:dyDescent="0.25">
      <c r="A10143" t="str">
        <f>T("   847982")</f>
        <v xml:space="preserve">   847982</v>
      </c>
      <c r="B10143"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10143">
        <v>11750000</v>
      </c>
      <c r="D10143">
        <v>7690</v>
      </c>
    </row>
    <row r="10144" spans="1:4" x14ac:dyDescent="0.25">
      <c r="A10144" t="str">
        <f>T("   847989")</f>
        <v xml:space="preserve">   847989</v>
      </c>
      <c r="B10144" t="str">
        <f>T("   Machines et appareils, y.c. les appareils mécaniques, n.d.a.")</f>
        <v xml:space="preserve">   Machines et appareils, y.c. les appareils mécaniques, n.d.a.</v>
      </c>
      <c r="C10144">
        <v>17226943</v>
      </c>
      <c r="D10144">
        <v>3570</v>
      </c>
    </row>
    <row r="10145" spans="1:4" x14ac:dyDescent="0.25">
      <c r="A10145" t="str">
        <f>T("   848079")</f>
        <v xml:space="preserve">   848079</v>
      </c>
      <c r="B10145" t="s">
        <v>466</v>
      </c>
      <c r="C10145">
        <v>2180250</v>
      </c>
      <c r="D10145">
        <v>520</v>
      </c>
    </row>
    <row r="10146" spans="1:4" x14ac:dyDescent="0.25">
      <c r="A10146" t="str">
        <f>T("   848190")</f>
        <v xml:space="preserve">   848190</v>
      </c>
      <c r="B10146" t="str">
        <f>T("   Parties d'articles de robinetterie et organes simil. pour tuyauterie, etc., n.d.a.")</f>
        <v xml:space="preserve">   Parties d'articles de robinetterie et organes simil. pour tuyauterie, etc., n.d.a.</v>
      </c>
      <c r="C10146">
        <v>147601</v>
      </c>
      <c r="D10146">
        <v>330</v>
      </c>
    </row>
    <row r="10147" spans="1:4" x14ac:dyDescent="0.25">
      <c r="A10147" t="str">
        <f>T("   850161")</f>
        <v xml:space="preserve">   850161</v>
      </c>
      <c r="B10147" t="str">
        <f>T("   Alternateurs, puissance &lt;= 75 kVA")</f>
        <v xml:space="preserve">   Alternateurs, puissance &lt;= 75 kVA</v>
      </c>
      <c r="C10147">
        <v>5000000</v>
      </c>
      <c r="D10147">
        <v>2200</v>
      </c>
    </row>
    <row r="10148" spans="1:4" x14ac:dyDescent="0.25">
      <c r="A10148" t="str">
        <f>T("   850211")</f>
        <v xml:space="preserve">   850211</v>
      </c>
      <c r="B10148" t="s">
        <v>470</v>
      </c>
      <c r="C10148">
        <v>107005616</v>
      </c>
      <c r="D10148">
        <v>50310</v>
      </c>
    </row>
    <row r="10149" spans="1:4" x14ac:dyDescent="0.25">
      <c r="A10149" t="str">
        <f>T("   850212")</f>
        <v xml:space="preserve">   850212</v>
      </c>
      <c r="B1014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0149">
        <v>97893586</v>
      </c>
      <c r="D10149">
        <v>10250</v>
      </c>
    </row>
    <row r="10150" spans="1:4" x14ac:dyDescent="0.25">
      <c r="A10150" t="str">
        <f>T("   850220")</f>
        <v xml:space="preserve">   850220</v>
      </c>
      <c r="B10150" t="s">
        <v>472</v>
      </c>
      <c r="C10150">
        <v>8214620</v>
      </c>
      <c r="D10150">
        <v>6190</v>
      </c>
    </row>
    <row r="10151" spans="1:4" x14ac:dyDescent="0.25">
      <c r="A10151" t="str">
        <f>T("   850239")</f>
        <v xml:space="preserve">   850239</v>
      </c>
      <c r="B10151" t="str">
        <f>T("   Groupes électrogènes (autres qu'à énergie éolienne et à moteurs à piston)")</f>
        <v xml:space="preserve">   Groupes électrogènes (autres qu'à énergie éolienne et à moteurs à piston)</v>
      </c>
      <c r="C10151">
        <v>45134886</v>
      </c>
      <c r="D10151">
        <v>12098</v>
      </c>
    </row>
    <row r="10152" spans="1:4" x14ac:dyDescent="0.25">
      <c r="A10152" t="str">
        <f>T("   850300")</f>
        <v xml:space="preserve">   850300</v>
      </c>
      <c r="B10152"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0152">
        <v>264352</v>
      </c>
      <c r="D10152">
        <v>28</v>
      </c>
    </row>
    <row r="10153" spans="1:4" x14ac:dyDescent="0.25">
      <c r="A10153" t="str">
        <f>T("   850433")</f>
        <v xml:space="preserve">   850433</v>
      </c>
      <c r="B10153" t="str">
        <f>T("   Transformateurs à sec, puissance &gt; 16 kVA mais &lt;= 500 kVA")</f>
        <v xml:space="preserve">   Transformateurs à sec, puissance &gt; 16 kVA mais &lt;= 500 kVA</v>
      </c>
      <c r="C10153">
        <v>1790510</v>
      </c>
      <c r="D10153">
        <v>5640</v>
      </c>
    </row>
    <row r="10154" spans="1:4" x14ac:dyDescent="0.25">
      <c r="A10154" t="str">
        <f>T("   850440")</f>
        <v xml:space="preserve">   850440</v>
      </c>
      <c r="B10154" t="str">
        <f>T("   CONVERTISSEURS STATIQUES")</f>
        <v xml:space="preserve">   CONVERTISSEURS STATIQUES</v>
      </c>
      <c r="C10154">
        <v>7163000</v>
      </c>
      <c r="D10154">
        <v>3500</v>
      </c>
    </row>
    <row r="10155" spans="1:4" x14ac:dyDescent="0.25">
      <c r="A10155" t="str">
        <f>T("   850610")</f>
        <v xml:space="preserve">   850610</v>
      </c>
      <c r="B10155" t="str">
        <f>T("   Piles et batteries de piles électriques, au bioxyde de manganèse (sauf hors d'usage)")</f>
        <v xml:space="preserve">   Piles et batteries de piles électriques, au bioxyde de manganèse (sauf hors d'usage)</v>
      </c>
      <c r="C10155">
        <v>44507401</v>
      </c>
      <c r="D10155">
        <v>191575</v>
      </c>
    </row>
    <row r="10156" spans="1:4" x14ac:dyDescent="0.25">
      <c r="A10156" t="str">
        <f>T("   850680")</f>
        <v xml:space="preserve">   850680</v>
      </c>
      <c r="B10156"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10156">
        <v>45212000</v>
      </c>
      <c r="D10156">
        <v>237936</v>
      </c>
    </row>
    <row r="10157" spans="1:4" x14ac:dyDescent="0.25">
      <c r="A10157" t="str">
        <f>T("   850690")</f>
        <v xml:space="preserve">   850690</v>
      </c>
      <c r="B10157" t="str">
        <f>T("   Parties de piles et batteries de piles électriques n.d.a.")</f>
        <v xml:space="preserve">   Parties de piles et batteries de piles électriques n.d.a.</v>
      </c>
      <c r="C10157">
        <v>394836</v>
      </c>
      <c r="D10157">
        <v>2000</v>
      </c>
    </row>
    <row r="10158" spans="1:4" x14ac:dyDescent="0.25">
      <c r="A10158" t="str">
        <f>T("   850710")</f>
        <v xml:space="preserve">   850710</v>
      </c>
      <c r="B10158" t="str">
        <f>T("   Accumulateurs au plomb, pour le démarrage des moteurs à piston (sauf hors d'usage)")</f>
        <v xml:space="preserve">   Accumulateurs au plomb, pour le démarrage des moteurs à piston (sauf hors d'usage)</v>
      </c>
      <c r="C10158">
        <v>295420</v>
      </c>
      <c r="D10158">
        <v>1800</v>
      </c>
    </row>
    <row r="10159" spans="1:4" x14ac:dyDescent="0.25">
      <c r="A10159" t="str">
        <f>T("   850720")</f>
        <v xml:space="preserve">   850720</v>
      </c>
      <c r="B10159" t="str">
        <f>T("   Accumulateurs au plomb (sauf hors d'usage et autres que pour le démarrage des moteurs à piston)")</f>
        <v xml:space="preserve">   Accumulateurs au plomb (sauf hors d'usage et autres que pour le démarrage des moteurs à piston)</v>
      </c>
      <c r="C10159">
        <v>1616937</v>
      </c>
      <c r="D10159">
        <v>13460</v>
      </c>
    </row>
    <row r="10160" spans="1:4" x14ac:dyDescent="0.25">
      <c r="A10160" t="str">
        <f>T("   850780")</f>
        <v xml:space="preserve">   850780</v>
      </c>
      <c r="B10160" t="str">
        <f>T("   Accumulateurs électriques (sauf hors d'usage et autres qu'au plomb, au nickel-cadmium ou au nickel-fer)")</f>
        <v xml:space="preserve">   Accumulateurs électriques (sauf hors d'usage et autres qu'au plomb, au nickel-cadmium ou au nickel-fer)</v>
      </c>
      <c r="C10160">
        <v>4482883</v>
      </c>
      <c r="D10160">
        <v>28767</v>
      </c>
    </row>
    <row r="10161" spans="1:4" x14ac:dyDescent="0.25">
      <c r="A10161" t="str">
        <f>T("   850870")</f>
        <v xml:space="preserve">   850870</v>
      </c>
      <c r="B10161" t="str">
        <f>T("   PARTIES D'ASPIRATEURS, N.D.A.")</f>
        <v xml:space="preserve">   PARTIES D'ASPIRATEURS, N.D.A.</v>
      </c>
      <c r="C10161">
        <v>5462</v>
      </c>
      <c r="D10161">
        <v>120</v>
      </c>
    </row>
    <row r="10162" spans="1:4" x14ac:dyDescent="0.25">
      <c r="A10162" t="str">
        <f>T("   851220")</f>
        <v xml:space="preserve">   851220</v>
      </c>
      <c r="B10162" t="str">
        <f>T("   Appareils électriques d'éclairage ou de signalisation visuelle, pour automobiles (à l'excl. des lampes du n° 8539)")</f>
        <v xml:space="preserve">   Appareils électriques d'éclairage ou de signalisation visuelle, pour automobiles (à l'excl. des lampes du n° 8539)</v>
      </c>
      <c r="C10162">
        <v>800000</v>
      </c>
      <c r="D10162">
        <v>900</v>
      </c>
    </row>
    <row r="10163" spans="1:4" x14ac:dyDescent="0.25">
      <c r="A10163" t="str">
        <f>T("   851310")</f>
        <v xml:space="preserve">   851310</v>
      </c>
      <c r="B10163" t="str">
        <f>T("   Lampes électriques portatives, destinées à fonctionner au moyen de leur propre source d'énergie")</f>
        <v xml:space="preserve">   Lampes électriques portatives, destinées à fonctionner au moyen de leur propre source d'énergie</v>
      </c>
      <c r="C10163">
        <v>18723857</v>
      </c>
      <c r="D10163">
        <v>116174</v>
      </c>
    </row>
    <row r="10164" spans="1:4" x14ac:dyDescent="0.25">
      <c r="A10164" t="str">
        <f>T("   851511")</f>
        <v xml:space="preserve">   851511</v>
      </c>
      <c r="B10164" t="str">
        <f>T("   Fers et pistolets à braser électriques")</f>
        <v xml:space="preserve">   Fers et pistolets à braser électriques</v>
      </c>
      <c r="C10164">
        <v>143246</v>
      </c>
      <c r="D10164">
        <v>70</v>
      </c>
    </row>
    <row r="10165" spans="1:4" x14ac:dyDescent="0.25">
      <c r="A10165" t="str">
        <f>T("   851539")</f>
        <v xml:space="preserve">   851539</v>
      </c>
      <c r="B10165" t="str">
        <f>T("   MACHINES ET APPAREILS POUR LE SOUDAGE DES MÉTAUX À L'ARC OU AU JET DE PLASMA, NON-AUTOMATIQUES")</f>
        <v xml:space="preserve">   MACHINES ET APPAREILS POUR LE SOUDAGE DES MÉTAUX À L'ARC OU AU JET DE PLASMA, NON-AUTOMATIQUES</v>
      </c>
      <c r="C10165">
        <v>83487</v>
      </c>
      <c r="D10165">
        <v>120</v>
      </c>
    </row>
    <row r="10166" spans="1:4" x14ac:dyDescent="0.25">
      <c r="A10166" t="str">
        <f>T("   851660")</f>
        <v xml:space="preserve">   851660</v>
      </c>
      <c r="B10166"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166">
        <v>81922</v>
      </c>
      <c r="D10166">
        <v>140</v>
      </c>
    </row>
    <row r="10167" spans="1:4" x14ac:dyDescent="0.25">
      <c r="A10167" t="str">
        <f>T("   851679")</f>
        <v xml:space="preserve">   851679</v>
      </c>
      <c r="B10167" t="s">
        <v>478</v>
      </c>
      <c r="C10167">
        <v>262152</v>
      </c>
      <c r="D10167">
        <v>230</v>
      </c>
    </row>
    <row r="10168" spans="1:4" x14ac:dyDescent="0.25">
      <c r="A10168" t="str">
        <f>T("   851718")</f>
        <v xml:space="preserve">   851718</v>
      </c>
      <c r="B10168" t="str">
        <f>T("   POSTES TÉLÉPHONIQUES D'USAGERS (À L'EXCL. DES POSTES TÉLÉPHONIQUES D'USAGERS POUR LA TÉLÉPHONIE PAR FIL À COMBINÉS SANS FIL AINSI QUE DES TÉLÉPHONES POUR RÉSEAUX CELLULAIRES ET POUR AUTRES RÉSEAUX SANS FIL)")</f>
        <v xml:space="preserve">   POSTES TÉLÉPHONIQUES D'USAGERS (À L'EXCL. DES POSTES TÉLÉPHONIQUES D'USAGERS POUR LA TÉLÉPHONIE PAR FIL À COMBINÉS SANS FIL AINSI QUE DES TÉLÉPHONES POUR RÉSEAUX CELLULAIRES ET POUR AUTRES RÉSEAUX SANS FIL)</v>
      </c>
      <c r="C10168">
        <v>14756</v>
      </c>
      <c r="D10168">
        <v>7</v>
      </c>
    </row>
    <row r="10169" spans="1:4" x14ac:dyDescent="0.25">
      <c r="A10169" t="str">
        <f>T("   851750")</f>
        <v xml:space="preserve">   851750</v>
      </c>
      <c r="B10169" t="s">
        <v>479</v>
      </c>
      <c r="C10169">
        <v>303894</v>
      </c>
      <c r="D10169">
        <v>840</v>
      </c>
    </row>
    <row r="10170" spans="1:4" x14ac:dyDescent="0.25">
      <c r="A10170" t="str">
        <f>T("   851781")</f>
        <v xml:space="preserve">   851781</v>
      </c>
      <c r="B10170" t="str">
        <f>T("   APPAREILS ÉLECTRIQUES POUR LA TELEPHONIE PAR FIL (AUTRES QUE POSTES TELEPHONIQUES D'USAGERS, APPAREILS DE COMMUTATION ET EMETTEUR-RÉCEPTEUR POUR LA TELECOMMUNICATION PAR COURANT PORTEUR)")</f>
        <v xml:space="preserve">   APPAREILS ÉLECTRIQUES POUR LA TELEPHONIE PAR FIL (AUTRES QUE POSTES TELEPHONIQUES D'USAGERS, APPAREILS DE COMMUTATION ET EMETTEUR-RÉCEPTEUR POUR LA TELECOMMUNICATION PAR COURANT PORTEUR)</v>
      </c>
      <c r="C10170">
        <v>436918</v>
      </c>
      <c r="D10170">
        <v>550</v>
      </c>
    </row>
    <row r="10171" spans="1:4" x14ac:dyDescent="0.25">
      <c r="A10171" t="str">
        <f>T("   851829")</f>
        <v xml:space="preserve">   851829</v>
      </c>
      <c r="B10171" t="str">
        <f>T("   Haut-parleurs sans enceinte")</f>
        <v xml:space="preserve">   Haut-parleurs sans enceinte</v>
      </c>
      <c r="C10171">
        <v>3276</v>
      </c>
      <c r="D10171">
        <v>30</v>
      </c>
    </row>
    <row r="10172" spans="1:4" x14ac:dyDescent="0.25">
      <c r="A10172" t="str">
        <f>T("   851850")</f>
        <v xml:space="preserve">   851850</v>
      </c>
      <c r="B10172" t="str">
        <f>T("   Appareils électriques d'amplification du son")</f>
        <v xml:space="preserve">   Appareils électriques d'amplification du son</v>
      </c>
      <c r="C10172">
        <v>10923</v>
      </c>
      <c r="D10172">
        <v>5</v>
      </c>
    </row>
    <row r="10173" spans="1:4" x14ac:dyDescent="0.25">
      <c r="A10173" t="str">
        <f>T("   851939")</f>
        <v xml:space="preserve">   851939</v>
      </c>
      <c r="B10173" t="str">
        <f>T("   Tourne-disques sans amplificateur et sans changeur automatique de disques")</f>
        <v xml:space="preserve">   Tourne-disques sans amplificateur et sans changeur automatique de disques</v>
      </c>
      <c r="C10173">
        <v>600000</v>
      </c>
      <c r="D10173">
        <v>2600</v>
      </c>
    </row>
    <row r="10174" spans="1:4" x14ac:dyDescent="0.25">
      <c r="A10174" t="str">
        <f>T("   852090")</f>
        <v xml:space="preserve">   852090</v>
      </c>
      <c r="B10174"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10174">
        <v>32771</v>
      </c>
      <c r="D10174">
        <v>23</v>
      </c>
    </row>
    <row r="10175" spans="1:4" x14ac:dyDescent="0.25">
      <c r="A10175" t="str">
        <f>T("   852190")</f>
        <v xml:space="preserve">   852190</v>
      </c>
      <c r="B10175" t="s">
        <v>487</v>
      </c>
      <c r="C10175">
        <v>513086</v>
      </c>
      <c r="D10175">
        <v>3000</v>
      </c>
    </row>
    <row r="10176" spans="1:4" x14ac:dyDescent="0.25">
      <c r="A10176" t="str">
        <f>T("   852490")</f>
        <v xml:space="preserve">   852490</v>
      </c>
      <c r="B10176" t="s">
        <v>491</v>
      </c>
      <c r="C10176">
        <v>54615</v>
      </c>
      <c r="D10176">
        <v>160</v>
      </c>
    </row>
    <row r="10177" spans="1:4" x14ac:dyDescent="0.25">
      <c r="A10177" t="str">
        <f>T("   852550")</f>
        <v xml:space="preserve">   852550</v>
      </c>
      <c r="B10177" t="str">
        <f>T("   APPAREILS D'ÉMISSION POUR LA RADIODIFFUSION OU LA TÉLÉVISION, SANS APPAREIL DE RÉCEPTION")</f>
        <v xml:space="preserve">   APPAREILS D'ÉMISSION POUR LA RADIODIFFUSION OU LA TÉLÉVISION, SANS APPAREIL DE RÉCEPTION</v>
      </c>
      <c r="C10177">
        <v>491764</v>
      </c>
      <c r="D10177">
        <v>420</v>
      </c>
    </row>
    <row r="10178" spans="1:4" x14ac:dyDescent="0.25">
      <c r="A10178" t="str">
        <f>T("   852712")</f>
        <v xml:space="preserve">   852712</v>
      </c>
      <c r="B10178"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10178">
        <v>2288460</v>
      </c>
      <c r="D10178">
        <v>7162</v>
      </c>
    </row>
    <row r="10179" spans="1:4" x14ac:dyDescent="0.25">
      <c r="A10179" t="str">
        <f>T("   852719")</f>
        <v xml:space="preserve">   852719</v>
      </c>
      <c r="B10179"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0179">
        <v>1053116</v>
      </c>
      <c r="D10179">
        <v>1580</v>
      </c>
    </row>
    <row r="10180" spans="1:4" x14ac:dyDescent="0.25">
      <c r="A10180" t="str">
        <f>T("   852799")</f>
        <v xml:space="preserve">   852799</v>
      </c>
      <c r="B10180"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10180">
        <v>100000</v>
      </c>
      <c r="D10180">
        <v>100</v>
      </c>
    </row>
    <row r="10181" spans="1:4" x14ac:dyDescent="0.25">
      <c r="A10181" t="str">
        <f>T("   852810")</f>
        <v xml:space="preserve">   852810</v>
      </c>
      <c r="B10181" t="s">
        <v>493</v>
      </c>
      <c r="C10181">
        <v>130970</v>
      </c>
      <c r="D10181">
        <v>450</v>
      </c>
    </row>
    <row r="10182" spans="1:4" x14ac:dyDescent="0.25">
      <c r="A10182" t="str">
        <f>T("   852812")</f>
        <v xml:space="preserve">   852812</v>
      </c>
      <c r="B1018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182">
        <v>84760</v>
      </c>
      <c r="D10182">
        <v>186</v>
      </c>
    </row>
    <row r="10183" spans="1:4" x14ac:dyDescent="0.25">
      <c r="A10183" t="str">
        <f>T("   852820")</f>
        <v xml:space="preserve">   852820</v>
      </c>
      <c r="B10183" t="s">
        <v>494</v>
      </c>
      <c r="C10183">
        <v>9849</v>
      </c>
      <c r="D10183">
        <v>30</v>
      </c>
    </row>
    <row r="10184" spans="1:4" x14ac:dyDescent="0.25">
      <c r="A10184" t="str">
        <f>T("   852849")</f>
        <v xml:space="preserve">   852849</v>
      </c>
      <c r="B10184"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10184">
        <v>3356595</v>
      </c>
      <c r="D10184">
        <v>4982</v>
      </c>
    </row>
    <row r="10185" spans="1:4" x14ac:dyDescent="0.25">
      <c r="A10185" t="str">
        <f>T("   852910")</f>
        <v xml:space="preserve">   852910</v>
      </c>
      <c r="B1018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185">
        <v>3051067</v>
      </c>
      <c r="D10185">
        <v>13995</v>
      </c>
    </row>
    <row r="10186" spans="1:4" x14ac:dyDescent="0.25">
      <c r="A10186" t="str">
        <f>T("   852990")</f>
        <v xml:space="preserve">   852990</v>
      </c>
      <c r="B10186" t="s">
        <v>496</v>
      </c>
      <c r="C10186">
        <v>24213091</v>
      </c>
      <c r="D10186">
        <v>18245</v>
      </c>
    </row>
    <row r="10187" spans="1:4" x14ac:dyDescent="0.25">
      <c r="A10187" t="str">
        <f>T("   853590")</f>
        <v xml:space="preserve">   853590</v>
      </c>
      <c r="B10187" t="s">
        <v>498</v>
      </c>
      <c r="C10187">
        <v>1445866</v>
      </c>
      <c r="D10187">
        <v>6309</v>
      </c>
    </row>
    <row r="10188" spans="1:4" x14ac:dyDescent="0.25">
      <c r="A10188" t="str">
        <f>T("   853630")</f>
        <v xml:space="preserve">   853630</v>
      </c>
      <c r="B10188"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10188">
        <v>4040196</v>
      </c>
      <c r="D10188">
        <v>16950</v>
      </c>
    </row>
    <row r="10189" spans="1:4" x14ac:dyDescent="0.25">
      <c r="A10189" t="str">
        <f>T("   853649")</f>
        <v xml:space="preserve">   853649</v>
      </c>
      <c r="B10189" t="str">
        <f>T("   Relais, pour une tension &gt; 60 V mais &lt;= 1.000 V")</f>
        <v xml:space="preserve">   Relais, pour une tension &gt; 60 V mais &lt;= 1.000 V</v>
      </c>
      <c r="C10189">
        <v>967895</v>
      </c>
      <c r="D10189">
        <v>3880</v>
      </c>
    </row>
    <row r="10190" spans="1:4" x14ac:dyDescent="0.25">
      <c r="A10190" t="str">
        <f>T("   853690")</f>
        <v xml:space="preserve">   853690</v>
      </c>
      <c r="B10190" t="s">
        <v>499</v>
      </c>
      <c r="C10190">
        <v>8528062</v>
      </c>
      <c r="D10190">
        <v>34971</v>
      </c>
    </row>
    <row r="10191" spans="1:4" x14ac:dyDescent="0.25">
      <c r="A10191" t="str">
        <f>T("   853710")</f>
        <v xml:space="preserve">   853710</v>
      </c>
      <c r="B1019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191">
        <v>40698470</v>
      </c>
      <c r="D10191">
        <v>710</v>
      </c>
    </row>
    <row r="10192" spans="1:4" x14ac:dyDescent="0.25">
      <c r="A10192" t="str">
        <f>T("   853810")</f>
        <v xml:space="preserve">   853810</v>
      </c>
      <c r="B10192" t="str">
        <f>T("   Tableaux, panneaux, consoles, pupitres, armoires et autres supports pour articles du n° 8537, dépourvus de leurs appareils")</f>
        <v xml:space="preserve">   Tableaux, panneaux, consoles, pupitres, armoires et autres supports pour articles du n° 8537, dépourvus de leurs appareils</v>
      </c>
      <c r="C10192">
        <v>3500000</v>
      </c>
      <c r="D10192">
        <v>5560</v>
      </c>
    </row>
    <row r="10193" spans="1:4" x14ac:dyDescent="0.25">
      <c r="A10193" t="str">
        <f>T("   853890")</f>
        <v xml:space="preserve">   853890</v>
      </c>
      <c r="B10193" t="s">
        <v>500</v>
      </c>
      <c r="C10193">
        <v>4654155</v>
      </c>
      <c r="D10193">
        <v>2957</v>
      </c>
    </row>
    <row r="10194" spans="1:4" x14ac:dyDescent="0.25">
      <c r="A10194" t="str">
        <f>T("   853910")</f>
        <v xml:space="preserve">   853910</v>
      </c>
      <c r="B10194" t="str">
        <f>T("   Phares et projecteurs scellés")</f>
        <v xml:space="preserve">   Phares et projecteurs scellés</v>
      </c>
      <c r="C10194">
        <v>110000</v>
      </c>
      <c r="D10194">
        <v>150</v>
      </c>
    </row>
    <row r="10195" spans="1:4" x14ac:dyDescent="0.25">
      <c r="A10195" t="str">
        <f>T("   853929")</f>
        <v xml:space="preserve">   853929</v>
      </c>
      <c r="B10195"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0195">
        <v>4759479</v>
      </c>
      <c r="D10195">
        <v>26311</v>
      </c>
    </row>
    <row r="10196" spans="1:4" x14ac:dyDescent="0.25">
      <c r="A10196" t="str">
        <f>T("   853931")</f>
        <v xml:space="preserve">   853931</v>
      </c>
      <c r="B10196" t="str">
        <f>T("   Lampes et tubes à décharge, fluorescents, à cathode chaude")</f>
        <v xml:space="preserve">   Lampes et tubes à décharge, fluorescents, à cathode chaude</v>
      </c>
      <c r="C10196">
        <v>4945227</v>
      </c>
      <c r="D10196">
        <v>16039</v>
      </c>
    </row>
    <row r="10197" spans="1:4" x14ac:dyDescent="0.25">
      <c r="A10197" t="str">
        <f>T("   853932")</f>
        <v xml:space="preserve">   853932</v>
      </c>
      <c r="B10197" t="str">
        <f>T("   Lampes à vapeur de mercure ou de sodium; lampes à halogénure métallique")</f>
        <v xml:space="preserve">   Lampes à vapeur de mercure ou de sodium; lampes à halogénure métallique</v>
      </c>
      <c r="C10197">
        <v>900000</v>
      </c>
      <c r="D10197">
        <v>5000</v>
      </c>
    </row>
    <row r="10198" spans="1:4" x14ac:dyDescent="0.25">
      <c r="A10198" t="str">
        <f>T("   853939")</f>
        <v xml:space="preserve">   853939</v>
      </c>
      <c r="B10198"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0198">
        <v>405000</v>
      </c>
      <c r="D10198">
        <v>3000</v>
      </c>
    </row>
    <row r="10199" spans="1:4" x14ac:dyDescent="0.25">
      <c r="A10199" t="str">
        <f>T("   853949")</f>
        <v xml:space="preserve">   853949</v>
      </c>
      <c r="B10199" t="str">
        <f>T("   Lampes et tubes à rayons ultraviolets ou infrarouges")</f>
        <v xml:space="preserve">   Lampes et tubes à rayons ultraviolets ou infrarouges</v>
      </c>
      <c r="C10199">
        <v>1000000</v>
      </c>
      <c r="D10199">
        <v>2000</v>
      </c>
    </row>
    <row r="10200" spans="1:4" x14ac:dyDescent="0.25">
      <c r="A10200" t="str">
        <f>T("   854079")</f>
        <v xml:space="preserve">   854079</v>
      </c>
      <c r="B10200" t="str">
        <f>T("   Tubes pour hyperfréquences [tubes à ondes progressives, carcinotrons, par exemple] (sauf magnétrons, klystrons et tubes commandés par grille)")</f>
        <v xml:space="preserve">   Tubes pour hyperfréquences [tubes à ondes progressives, carcinotrons, par exemple] (sauf magnétrons, klystrons et tubes commandés par grille)</v>
      </c>
      <c r="C10200">
        <v>147601</v>
      </c>
      <c r="D10200">
        <v>400</v>
      </c>
    </row>
    <row r="10201" spans="1:4" x14ac:dyDescent="0.25">
      <c r="A10201" t="str">
        <f>T("   854140")</f>
        <v xml:space="preserve">   854140</v>
      </c>
      <c r="B10201"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10201">
        <v>3500000</v>
      </c>
      <c r="D10201">
        <v>10000</v>
      </c>
    </row>
    <row r="10202" spans="1:4" x14ac:dyDescent="0.25">
      <c r="A10202" t="str">
        <f>T("   854420")</f>
        <v xml:space="preserve">   854420</v>
      </c>
      <c r="B10202" t="str">
        <f>T("   Câbles coaxiaux et autres conducteurs électriques coaxiaux, isolés")</f>
        <v xml:space="preserve">   Câbles coaxiaux et autres conducteurs électriques coaxiaux, isolés</v>
      </c>
      <c r="C10202">
        <v>262155</v>
      </c>
      <c r="D10202">
        <v>800</v>
      </c>
    </row>
    <row r="10203" spans="1:4" x14ac:dyDescent="0.25">
      <c r="A10203" t="str">
        <f>T("   854449")</f>
        <v xml:space="preserve">   854449</v>
      </c>
      <c r="B10203" t="str">
        <f>T("   CONDUCTEURS ÉLECTRIQUES, POUR TENSION &lt;= 1.000 V, ISOLÉS, SANS PIÈCES DE CONNEXION, N.D.A.")</f>
        <v xml:space="preserve">   CONDUCTEURS ÉLECTRIQUES, POUR TENSION &lt;= 1.000 V, ISOLÉS, SANS PIÈCES DE CONNEXION, N.D.A.</v>
      </c>
      <c r="C10203">
        <v>2617212</v>
      </c>
      <c r="D10203">
        <v>3774</v>
      </c>
    </row>
    <row r="10204" spans="1:4" x14ac:dyDescent="0.25">
      <c r="A10204" t="str">
        <f>T("   854451")</f>
        <v xml:space="preserve">   854451</v>
      </c>
      <c r="B10204" t="str">
        <f>T("   Conducteurs électriques, pour tension &gt; 80 V mais &lt;= 1.000 V, avec pièces de connexion, n.d.a.")</f>
        <v xml:space="preserve">   Conducteurs électriques, pour tension &gt; 80 V mais &lt;= 1.000 V, avec pièces de connexion, n.d.a.</v>
      </c>
      <c r="C10204">
        <v>1000000</v>
      </c>
      <c r="D10204">
        <v>3000</v>
      </c>
    </row>
    <row r="10205" spans="1:4" x14ac:dyDescent="0.25">
      <c r="A10205" t="str">
        <f>T("   854459")</f>
        <v xml:space="preserve">   854459</v>
      </c>
      <c r="B10205" t="str">
        <f>T("   Conducteurs électriques, pour tension &gt; 80 V mais &lt;= 1.000 V, sans pièces de connexion, n.d.a.")</f>
        <v xml:space="preserve">   Conducteurs électriques, pour tension &gt; 80 V mais &lt;= 1.000 V, sans pièces de connexion, n.d.a.</v>
      </c>
      <c r="C10205">
        <v>1000000</v>
      </c>
      <c r="D10205">
        <v>400</v>
      </c>
    </row>
    <row r="10206" spans="1:4" x14ac:dyDescent="0.25">
      <c r="A10206" t="str">
        <f>T("   854460")</f>
        <v xml:space="preserve">   854460</v>
      </c>
      <c r="B10206" t="str">
        <f>T("   Conducteurs électriques, pour tension &gt; 1.000 V, n.d.a.")</f>
        <v xml:space="preserve">   Conducteurs électriques, pour tension &gt; 1.000 V, n.d.a.</v>
      </c>
      <c r="C10206">
        <v>4246392</v>
      </c>
      <c r="D10206">
        <v>11825</v>
      </c>
    </row>
    <row r="10207" spans="1:4" x14ac:dyDescent="0.25">
      <c r="A10207" t="str">
        <f>T("   854519")</f>
        <v xml:space="preserve">   854519</v>
      </c>
      <c r="B10207" t="str">
        <f>T("   ÉLECTRODES EN GRAPHITE OU EN AUTRE CARBONE, POUR USAGES ÉLECTRIQUES (AUTRES QUE POUR FOURS)")</f>
        <v xml:space="preserve">   ÉLECTRODES EN GRAPHITE OU EN AUTRE CARBONE, POUR USAGES ÉLECTRIQUES (AUTRES QUE POUR FOURS)</v>
      </c>
      <c r="C10207">
        <v>147608</v>
      </c>
      <c r="D10207">
        <v>140</v>
      </c>
    </row>
    <row r="10208" spans="1:4" x14ac:dyDescent="0.25">
      <c r="A10208" t="str">
        <f>T("   854720")</f>
        <v xml:space="preserve">   854720</v>
      </c>
      <c r="B10208" t="str">
        <f>T("   Pièces isolantes en matières plastiques, pour usages électriques")</f>
        <v xml:space="preserve">   Pièces isolantes en matières plastiques, pour usages électriques</v>
      </c>
      <c r="C10208">
        <v>516607</v>
      </c>
      <c r="D10208">
        <v>1860</v>
      </c>
    </row>
    <row r="10209" spans="1:4" x14ac:dyDescent="0.25">
      <c r="A10209" t="str">
        <f>T("   854790")</f>
        <v xml:space="preserve">   854790</v>
      </c>
      <c r="B10209"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10209">
        <v>3277718</v>
      </c>
      <c r="D10209">
        <v>11560</v>
      </c>
    </row>
    <row r="10210" spans="1:4" x14ac:dyDescent="0.25">
      <c r="A10210" t="str">
        <f>T("   860729")</f>
        <v xml:space="preserve">   860729</v>
      </c>
      <c r="B10210" t="str">
        <f>T("   Freins (autres qu'à air comprimé), de véhicules pour voies ferrées ou simil., leurs parties, n.d.a.")</f>
        <v xml:space="preserve">   Freins (autres qu'à air comprimé), de véhicules pour voies ferrées ou simil., leurs parties, n.d.a.</v>
      </c>
      <c r="C10210">
        <v>3023828</v>
      </c>
      <c r="D10210">
        <v>29000</v>
      </c>
    </row>
    <row r="10211" spans="1:4" x14ac:dyDescent="0.25">
      <c r="A10211" t="str">
        <f>T("   860800")</f>
        <v xml:space="preserve">   860800</v>
      </c>
      <c r="B10211" t="s">
        <v>502</v>
      </c>
      <c r="C10211">
        <v>1253350</v>
      </c>
      <c r="D10211">
        <v>870</v>
      </c>
    </row>
    <row r="10212" spans="1:4" x14ac:dyDescent="0.25">
      <c r="A10212" t="str">
        <f>T("   860900")</f>
        <v xml:space="preserve">   860900</v>
      </c>
      <c r="B10212"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0212">
        <v>500000</v>
      </c>
      <c r="D10212">
        <v>3100</v>
      </c>
    </row>
    <row r="10213" spans="1:4" x14ac:dyDescent="0.25">
      <c r="A10213" t="str">
        <f>T("   870120")</f>
        <v xml:space="preserve">   870120</v>
      </c>
      <c r="B10213" t="str">
        <f>T("   Tracteurs routiers pour semi-remorques")</f>
        <v xml:space="preserve">   Tracteurs routiers pour semi-remorques</v>
      </c>
      <c r="C10213">
        <v>82285786</v>
      </c>
      <c r="D10213">
        <v>444150</v>
      </c>
    </row>
    <row r="10214" spans="1:4" x14ac:dyDescent="0.25">
      <c r="A10214" t="str">
        <f>T("   870190")</f>
        <v xml:space="preserve">   870190</v>
      </c>
      <c r="B1021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0214">
        <v>1389481</v>
      </c>
      <c r="D10214">
        <v>8000</v>
      </c>
    </row>
    <row r="10215" spans="1:4" x14ac:dyDescent="0.25">
      <c r="A10215" t="str">
        <f>T("   870210")</f>
        <v xml:space="preserve">   870210</v>
      </c>
      <c r="B10215" t="s">
        <v>503</v>
      </c>
      <c r="C10215">
        <v>26823653</v>
      </c>
      <c r="D10215">
        <v>30537</v>
      </c>
    </row>
    <row r="10216" spans="1:4" x14ac:dyDescent="0.25">
      <c r="A10216" t="str">
        <f>T("   870290")</f>
        <v xml:space="preserve">   870290</v>
      </c>
      <c r="B10216" t="s">
        <v>504</v>
      </c>
      <c r="C10216">
        <v>2611914</v>
      </c>
      <c r="D10216">
        <v>2000</v>
      </c>
    </row>
    <row r="10217" spans="1:4" x14ac:dyDescent="0.25">
      <c r="A10217" t="str">
        <f>T("   870322")</f>
        <v xml:space="preserve">   870322</v>
      </c>
      <c r="B10217" t="s">
        <v>506</v>
      </c>
      <c r="C10217">
        <v>84206856</v>
      </c>
      <c r="D10217">
        <v>46534</v>
      </c>
    </row>
    <row r="10218" spans="1:4" x14ac:dyDescent="0.25">
      <c r="A10218" t="str">
        <f>T("   870323")</f>
        <v xml:space="preserve">   870323</v>
      </c>
      <c r="B10218" t="s">
        <v>507</v>
      </c>
      <c r="C10218">
        <v>102605744</v>
      </c>
      <c r="D10218">
        <v>48268</v>
      </c>
    </row>
    <row r="10219" spans="1:4" x14ac:dyDescent="0.25">
      <c r="A10219" t="str">
        <f>T("   870324")</f>
        <v xml:space="preserve">   870324</v>
      </c>
      <c r="B10219" t="s">
        <v>508</v>
      </c>
      <c r="C10219">
        <v>24963924</v>
      </c>
      <c r="D10219">
        <v>12365</v>
      </c>
    </row>
    <row r="10220" spans="1:4" x14ac:dyDescent="0.25">
      <c r="A10220" t="str">
        <f>T("   870331")</f>
        <v xml:space="preserve">   870331</v>
      </c>
      <c r="B10220" t="s">
        <v>509</v>
      </c>
      <c r="C10220">
        <v>1200000</v>
      </c>
      <c r="D10220">
        <v>1112</v>
      </c>
    </row>
    <row r="10221" spans="1:4" x14ac:dyDescent="0.25">
      <c r="A10221" t="str">
        <f>T("   870332")</f>
        <v xml:space="preserve">   870332</v>
      </c>
      <c r="B10221" t="s">
        <v>510</v>
      </c>
      <c r="C10221">
        <v>12000000</v>
      </c>
      <c r="D10221">
        <v>1465</v>
      </c>
    </row>
    <row r="10222" spans="1:4" x14ac:dyDescent="0.25">
      <c r="A10222" t="str">
        <f>T("   870333")</f>
        <v xml:space="preserve">   870333</v>
      </c>
      <c r="B10222" t="s">
        <v>511</v>
      </c>
      <c r="C10222">
        <v>35785988</v>
      </c>
      <c r="D10222">
        <v>18416</v>
      </c>
    </row>
    <row r="10223" spans="1:4" x14ac:dyDescent="0.25">
      <c r="A10223" t="str">
        <f>T("   870421")</f>
        <v xml:space="preserve">   870421</v>
      </c>
      <c r="B10223" t="s">
        <v>512</v>
      </c>
      <c r="C10223">
        <v>64214397</v>
      </c>
      <c r="D10223">
        <v>96045</v>
      </c>
    </row>
    <row r="10224" spans="1:4" x14ac:dyDescent="0.25">
      <c r="A10224" t="str">
        <f>T("   870422")</f>
        <v xml:space="preserve">   870422</v>
      </c>
      <c r="B10224" t="s">
        <v>513</v>
      </c>
      <c r="C10224">
        <v>96856106</v>
      </c>
      <c r="D10224">
        <v>144395</v>
      </c>
    </row>
    <row r="10225" spans="1:4" x14ac:dyDescent="0.25">
      <c r="A10225" t="str">
        <f>T("   870423")</f>
        <v xml:space="preserve">   870423</v>
      </c>
      <c r="B10225" t="s">
        <v>514</v>
      </c>
      <c r="C10225">
        <v>12665918</v>
      </c>
      <c r="D10225">
        <v>62370</v>
      </c>
    </row>
    <row r="10226" spans="1:4" x14ac:dyDescent="0.25">
      <c r="A10226" t="str">
        <f>T("   870431")</f>
        <v xml:space="preserve">   870431</v>
      </c>
      <c r="B10226" t="s">
        <v>515</v>
      </c>
      <c r="C10226">
        <v>6600000</v>
      </c>
      <c r="D10226">
        <v>9195</v>
      </c>
    </row>
    <row r="10227" spans="1:4" x14ac:dyDescent="0.25">
      <c r="A10227" t="str">
        <f>T("   870490")</f>
        <v xml:space="preserve">   870490</v>
      </c>
      <c r="B10227"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227">
        <v>3190635</v>
      </c>
      <c r="D10227">
        <v>11300</v>
      </c>
    </row>
    <row r="10228" spans="1:4" x14ac:dyDescent="0.25">
      <c r="A10228" t="str">
        <f>T("   870510")</f>
        <v xml:space="preserve">   870510</v>
      </c>
      <c r="B10228" t="str">
        <f>T("   Camions-grues (sauf dépanneuses)")</f>
        <v xml:space="preserve">   Camions-grues (sauf dépanneuses)</v>
      </c>
      <c r="C10228">
        <v>6672434</v>
      </c>
      <c r="D10228">
        <v>15655</v>
      </c>
    </row>
    <row r="10229" spans="1:4" x14ac:dyDescent="0.25">
      <c r="A10229" t="str">
        <f>T("   870590")</f>
        <v xml:space="preserve">   870590</v>
      </c>
      <c r="B10229" t="s">
        <v>517</v>
      </c>
      <c r="C10229">
        <v>1400497</v>
      </c>
      <c r="D10229">
        <v>5000</v>
      </c>
    </row>
    <row r="10230" spans="1:4" x14ac:dyDescent="0.25">
      <c r="A10230" t="str">
        <f>T("   870829")</f>
        <v xml:space="preserve">   870829</v>
      </c>
      <c r="B10230" t="s">
        <v>519</v>
      </c>
      <c r="C10230">
        <v>442804</v>
      </c>
      <c r="D10230">
        <v>830</v>
      </c>
    </row>
    <row r="10231" spans="1:4" x14ac:dyDescent="0.25">
      <c r="A10231" t="str">
        <f>T("   870839")</f>
        <v xml:space="preserve">   870839</v>
      </c>
      <c r="B10231"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10231">
        <v>442804</v>
      </c>
      <c r="D10231">
        <v>80</v>
      </c>
    </row>
    <row r="10232" spans="1:4" x14ac:dyDescent="0.25">
      <c r="A10232" t="str">
        <f>T("   870840")</f>
        <v xml:space="preserve">   870840</v>
      </c>
      <c r="B10232"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10232">
        <v>295200</v>
      </c>
      <c r="D10232">
        <v>150</v>
      </c>
    </row>
    <row r="10233" spans="1:4" x14ac:dyDescent="0.25">
      <c r="A10233" t="str">
        <f>T("   870870")</f>
        <v xml:space="preserve">   870870</v>
      </c>
      <c r="B10233"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0233">
        <v>1717515</v>
      </c>
      <c r="D10233">
        <v>790</v>
      </c>
    </row>
    <row r="10234" spans="1:4" x14ac:dyDescent="0.25">
      <c r="A10234" t="str">
        <f>T("   870894")</f>
        <v xml:space="preserve">   870894</v>
      </c>
      <c r="B10234" t="s">
        <v>521</v>
      </c>
      <c r="C10234">
        <v>738010</v>
      </c>
      <c r="D10234">
        <v>2080</v>
      </c>
    </row>
    <row r="10235" spans="1:4" x14ac:dyDescent="0.25">
      <c r="A10235" t="str">
        <f>T("   870899")</f>
        <v xml:space="preserve">   870899</v>
      </c>
      <c r="B1023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235">
        <v>1124172</v>
      </c>
      <c r="D10235">
        <v>2660</v>
      </c>
    </row>
    <row r="10236" spans="1:4" x14ac:dyDescent="0.25">
      <c r="A10236" t="str">
        <f>T("   870919")</f>
        <v xml:space="preserve">   870919</v>
      </c>
      <c r="B10236"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0236">
        <v>1333616</v>
      </c>
      <c r="D10236">
        <v>3503</v>
      </c>
    </row>
    <row r="10237" spans="1:4" x14ac:dyDescent="0.25">
      <c r="A10237" t="str">
        <f>T("   871110")</f>
        <v xml:space="preserve">   871110</v>
      </c>
      <c r="B10237" t="str">
        <f>T("   Cyclomoteurs, à moteur à piston alternatif, cylindrée &lt;= 50 cm³, y.c. cycles à moteur auxiliaire")</f>
        <v xml:space="preserve">   Cyclomoteurs, à moteur à piston alternatif, cylindrée &lt;= 50 cm³, y.c. cycles à moteur auxiliaire</v>
      </c>
      <c r="C10237">
        <v>18157292</v>
      </c>
      <c r="D10237">
        <v>21240</v>
      </c>
    </row>
    <row r="10238" spans="1:4" x14ac:dyDescent="0.25">
      <c r="A10238" t="str">
        <f>T("   871120")</f>
        <v xml:space="preserve">   871120</v>
      </c>
      <c r="B10238" t="str">
        <f>T("   Motocycles à moteur à piston alternatif, cylindrée &gt; 50 cm³ mais &lt;= 250 cm³")</f>
        <v xml:space="preserve">   Motocycles à moteur à piston alternatif, cylindrée &gt; 50 cm³ mais &lt;= 250 cm³</v>
      </c>
      <c r="C10238">
        <v>1157977140</v>
      </c>
      <c r="D10238">
        <v>685144</v>
      </c>
    </row>
    <row r="10239" spans="1:4" x14ac:dyDescent="0.25">
      <c r="A10239" t="str">
        <f>T("   871130")</f>
        <v xml:space="preserve">   871130</v>
      </c>
      <c r="B10239" t="str">
        <f>T("   Motocycles à moteur à piston alternatif, cylindrée &gt; 250 cm³ mais &lt;= 500 cm³")</f>
        <v xml:space="preserve">   Motocycles à moteur à piston alternatif, cylindrée &gt; 250 cm³ mais &lt;= 500 cm³</v>
      </c>
      <c r="C10239">
        <v>261106818</v>
      </c>
      <c r="D10239">
        <v>137856</v>
      </c>
    </row>
    <row r="10240" spans="1:4" x14ac:dyDescent="0.25">
      <c r="A10240" t="str">
        <f>T("   871150")</f>
        <v xml:space="preserve">   871150</v>
      </c>
      <c r="B10240" t="str">
        <f>T("   Motocycles à moteur à piston alternatif, cylindrée &gt; 800 cm³")</f>
        <v xml:space="preserve">   Motocycles à moteur à piston alternatif, cylindrée &gt; 800 cm³</v>
      </c>
      <c r="C10240">
        <v>1300000</v>
      </c>
      <c r="D10240">
        <v>2000</v>
      </c>
    </row>
    <row r="10241" spans="1:4" x14ac:dyDescent="0.25">
      <c r="A10241" t="str">
        <f>T("   871190")</f>
        <v xml:space="preserve">   871190</v>
      </c>
      <c r="B10241" t="str">
        <f>T("   Side-cars")</f>
        <v xml:space="preserve">   Side-cars</v>
      </c>
      <c r="C10241">
        <v>358102</v>
      </c>
      <c r="D10241">
        <v>1750</v>
      </c>
    </row>
    <row r="10242" spans="1:4" x14ac:dyDescent="0.25">
      <c r="A10242" t="str">
        <f>T("   871200")</f>
        <v xml:space="preserve">   871200</v>
      </c>
      <c r="B10242" t="str">
        <f>T("   BICYCLETTES ET AUTRES CYCLES, -Y.C. LES TRIPORTEURS-, SANS MOTEUR")</f>
        <v xml:space="preserve">   BICYCLETTES ET AUTRES CYCLES, -Y.C. LES TRIPORTEURS-, SANS MOTEUR</v>
      </c>
      <c r="C10242">
        <v>1130196</v>
      </c>
      <c r="D10242">
        <v>1776</v>
      </c>
    </row>
    <row r="10243" spans="1:4" x14ac:dyDescent="0.25">
      <c r="A10243" t="str">
        <f>T("   871390")</f>
        <v xml:space="preserve">   871390</v>
      </c>
      <c r="B10243"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10243">
        <v>496931</v>
      </c>
      <c r="D10243">
        <v>20</v>
      </c>
    </row>
    <row r="10244" spans="1:4" x14ac:dyDescent="0.25">
      <c r="A10244" t="str">
        <f>T("   871411")</f>
        <v xml:space="preserve">   871411</v>
      </c>
      <c r="B10244" t="str">
        <f>T("   Selles de motocycles, y.c. de cyclomoteurs")</f>
        <v xml:space="preserve">   Selles de motocycles, y.c. de cyclomoteurs</v>
      </c>
      <c r="C10244">
        <v>830850</v>
      </c>
      <c r="D10244">
        <v>95</v>
      </c>
    </row>
    <row r="10245" spans="1:4" x14ac:dyDescent="0.25">
      <c r="A10245" t="str">
        <f>T("   871419")</f>
        <v xml:space="preserve">   871419</v>
      </c>
      <c r="B10245" t="str">
        <f>T("   Parties et accessoires de motocycles, y.c. de cyclomoteurs, n.d.a.")</f>
        <v xml:space="preserve">   Parties et accessoires de motocycles, y.c. de cyclomoteurs, n.d.a.</v>
      </c>
      <c r="C10245">
        <v>14116682</v>
      </c>
      <c r="D10245">
        <v>43595</v>
      </c>
    </row>
    <row r="10246" spans="1:4" x14ac:dyDescent="0.25">
      <c r="A10246" t="str">
        <f>T("   871492")</f>
        <v xml:space="preserve">   871492</v>
      </c>
      <c r="B10246" t="str">
        <f>T("   Jantes et rayons, de bicyclettes")</f>
        <v xml:space="preserve">   Jantes et rayons, de bicyclettes</v>
      </c>
      <c r="C10246">
        <v>118920</v>
      </c>
      <c r="D10246">
        <v>44</v>
      </c>
    </row>
    <row r="10247" spans="1:4" x14ac:dyDescent="0.25">
      <c r="A10247" t="str">
        <f>T("   871493")</f>
        <v xml:space="preserve">   871493</v>
      </c>
      <c r="B10247" t="str">
        <f>T("   Moyeux (autres que les moyeux à frein) et pignons de roues libres, de bicyclettes")</f>
        <v xml:space="preserve">   Moyeux (autres que les moyeux à frein) et pignons de roues libres, de bicyclettes</v>
      </c>
      <c r="C10247">
        <v>838572</v>
      </c>
      <c r="D10247">
        <v>1080</v>
      </c>
    </row>
    <row r="10248" spans="1:4" x14ac:dyDescent="0.25">
      <c r="A10248" t="str">
        <f>T("   871499")</f>
        <v xml:space="preserve">   871499</v>
      </c>
      <c r="B10248" t="str">
        <f>T("   Parties et accessoires, de bicyclettes, n.d.a.")</f>
        <v xml:space="preserve">   Parties et accessoires, de bicyclettes, n.d.a.</v>
      </c>
      <c r="C10248">
        <v>8748861</v>
      </c>
      <c r="D10248">
        <v>2118</v>
      </c>
    </row>
    <row r="10249" spans="1:4" x14ac:dyDescent="0.25">
      <c r="A10249" t="str">
        <f>T("   871620")</f>
        <v xml:space="preserve">   871620</v>
      </c>
      <c r="B10249" t="str">
        <f>T("   Remorques et semi-remorques autochargeuses ou autodéchargeuses, pour usages agricoles")</f>
        <v xml:space="preserve">   Remorques et semi-remorques autochargeuses ou autodéchargeuses, pour usages agricoles</v>
      </c>
      <c r="C10249">
        <v>13625482</v>
      </c>
      <c r="D10249">
        <v>83485</v>
      </c>
    </row>
    <row r="10250" spans="1:4" x14ac:dyDescent="0.25">
      <c r="A10250" t="str">
        <f>T("   871631")</f>
        <v xml:space="preserve">   871631</v>
      </c>
      <c r="B10250" t="str">
        <f>T("   Remorques-citernes ne circulant pas sur rails")</f>
        <v xml:space="preserve">   Remorques-citernes ne circulant pas sur rails</v>
      </c>
      <c r="C10250">
        <v>7449170</v>
      </c>
      <c r="D10250">
        <v>43430</v>
      </c>
    </row>
    <row r="10251" spans="1:4" x14ac:dyDescent="0.25">
      <c r="A10251" t="str">
        <f>T("   871639")</f>
        <v xml:space="preserve">   871639</v>
      </c>
      <c r="B10251"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10251">
        <v>4731034</v>
      </c>
      <c r="D10251">
        <v>45340</v>
      </c>
    </row>
    <row r="10252" spans="1:4" x14ac:dyDescent="0.25">
      <c r="A10252" t="str">
        <f>T("   871640")</f>
        <v xml:space="preserve">   871640</v>
      </c>
      <c r="B1025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252">
        <v>29453604</v>
      </c>
      <c r="D10252">
        <v>123890</v>
      </c>
    </row>
    <row r="10253" spans="1:4" x14ac:dyDescent="0.25">
      <c r="A10253" t="str">
        <f>T("   871680")</f>
        <v xml:space="preserve">   871680</v>
      </c>
      <c r="B10253" t="str">
        <f>T("   Véhicules dirigés à la main et autres véhicules non automobiles, autres que remorques et semi-remorques")</f>
        <v xml:space="preserve">   Véhicules dirigés à la main et autres véhicules non automobiles, autres que remorques et semi-remorques</v>
      </c>
      <c r="C10253">
        <v>2294233</v>
      </c>
      <c r="D10253">
        <v>15790</v>
      </c>
    </row>
    <row r="10254" spans="1:4" x14ac:dyDescent="0.25">
      <c r="A10254" t="str">
        <f>T("   900220")</f>
        <v xml:space="preserve">   900220</v>
      </c>
      <c r="B10254" t="str">
        <f>T("   FILTRES, OPTIQUES, POUR INSTRUMENTS OU APPAREILS, MONTÉS [01/01/1988-31/12/1994: FILTRES OPTIQUES, MONTES, POUR INSTRUMENTS OU APPAREILS]")</f>
        <v xml:space="preserve">   FILTRES, OPTIQUES, POUR INSTRUMENTS OU APPAREILS, MONTÉS [01/01/1988-31/12/1994: FILTRES OPTIQUES, MONTES, POUR INSTRUMENTS OU APPAREILS]</v>
      </c>
      <c r="C10254">
        <v>104500</v>
      </c>
      <c r="D10254">
        <v>37</v>
      </c>
    </row>
    <row r="10255" spans="1:4" x14ac:dyDescent="0.25">
      <c r="A10255" t="str">
        <f>T("   901540")</f>
        <v xml:space="preserve">   901540</v>
      </c>
      <c r="B10255" t="str">
        <f>T("   Instruments et appareils de photogrammétrie")</f>
        <v xml:space="preserve">   Instruments et appareils de photogrammétrie</v>
      </c>
      <c r="C10255">
        <v>373897</v>
      </c>
      <c r="D10255">
        <v>110</v>
      </c>
    </row>
    <row r="10256" spans="1:4" x14ac:dyDescent="0.25">
      <c r="A10256" t="str">
        <f>T("   901839")</f>
        <v xml:space="preserve">   901839</v>
      </c>
      <c r="B10256"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10256">
        <v>100000</v>
      </c>
      <c r="D10256">
        <v>37</v>
      </c>
    </row>
    <row r="10257" spans="1:4" x14ac:dyDescent="0.25">
      <c r="A10257" t="str">
        <f>T("   901890")</f>
        <v xml:space="preserve">   901890</v>
      </c>
      <c r="B10257" t="str">
        <f>T("   Instruments et appareils pour la médecine, la chirurgie ou l'art vétérinaire, n.d.a.")</f>
        <v xml:space="preserve">   Instruments et appareils pour la médecine, la chirurgie ou l'art vétérinaire, n.d.a.</v>
      </c>
      <c r="C10257">
        <v>12542000</v>
      </c>
      <c r="D10257">
        <v>55561.1</v>
      </c>
    </row>
    <row r="10258" spans="1:4" x14ac:dyDescent="0.25">
      <c r="A10258" t="str">
        <f>T("   902610")</f>
        <v xml:space="preserve">   902610</v>
      </c>
      <c r="B1025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0258">
        <v>393411</v>
      </c>
      <c r="D10258">
        <v>1800</v>
      </c>
    </row>
    <row r="10259" spans="1:4" x14ac:dyDescent="0.25">
      <c r="A10259" t="str">
        <f>T("   902690")</f>
        <v xml:space="preserve">   902690</v>
      </c>
      <c r="B10259"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10259">
        <v>1250000</v>
      </c>
      <c r="D10259">
        <v>5000</v>
      </c>
    </row>
    <row r="10260" spans="1:4" x14ac:dyDescent="0.25">
      <c r="A10260" t="str">
        <f>T("   902830")</f>
        <v xml:space="preserve">   902830</v>
      </c>
      <c r="B10260" t="str">
        <f>T("   Compteurs d'électricité, y.c. les compteurs pour leur étalonnage")</f>
        <v xml:space="preserve">   Compteurs d'électricité, y.c. les compteurs pour leur étalonnage</v>
      </c>
      <c r="C10260">
        <v>649447</v>
      </c>
      <c r="D10260">
        <v>1825</v>
      </c>
    </row>
    <row r="10261" spans="1:4" x14ac:dyDescent="0.25">
      <c r="A10261" t="str">
        <f>T("   910299")</f>
        <v xml:space="preserve">   910299</v>
      </c>
      <c r="B10261" t="str">
        <f>T("   Montres de poche et montres simil., à remontage manuel ou automatique, y.c. les compteurs de temps du même type (autres que celles en métaux précieux ou en plaqués ou doublés de métaux précieux)")</f>
        <v xml:space="preserve">   Montres de poche et montres simil., à remontage manuel ou automatique, y.c. les compteurs de temps du même type (autres que celles en métaux précieux ou en plaqués ou doublés de métaux précieux)</v>
      </c>
      <c r="C10261">
        <v>378174</v>
      </c>
      <c r="D10261">
        <v>10</v>
      </c>
    </row>
    <row r="10262" spans="1:4" x14ac:dyDescent="0.25">
      <c r="A10262" t="str">
        <f>T("   910390")</f>
        <v xml:space="preserve">   910390</v>
      </c>
      <c r="B10262"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10262">
        <v>21611</v>
      </c>
      <c r="D10262">
        <v>30</v>
      </c>
    </row>
    <row r="10263" spans="1:4" x14ac:dyDescent="0.25">
      <c r="A10263" t="str">
        <f>T("   911420")</f>
        <v xml:space="preserve">   911420</v>
      </c>
      <c r="B10263" t="str">
        <f>T("   Pierres d'horlogerie (autres que pierres décoratives pour boîtes d'appareils d'horlogerie)")</f>
        <v xml:space="preserve">   Pierres d'horlogerie (autres que pierres décoratives pour boîtes d'appareils d'horlogerie)</v>
      </c>
      <c r="C10263">
        <v>49701</v>
      </c>
      <c r="D10263">
        <v>30</v>
      </c>
    </row>
    <row r="10264" spans="1:4" x14ac:dyDescent="0.25">
      <c r="A10264" t="str">
        <f>T("   920590")</f>
        <v xml:space="preserve">   920590</v>
      </c>
      <c r="B10264" t="s">
        <v>536</v>
      </c>
      <c r="C10264">
        <v>14545</v>
      </c>
      <c r="D10264">
        <v>12</v>
      </c>
    </row>
    <row r="10265" spans="1:4" x14ac:dyDescent="0.25">
      <c r="A10265" t="str">
        <f>T("   920600")</f>
        <v xml:space="preserve">   920600</v>
      </c>
      <c r="B10265"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10265">
        <v>110546</v>
      </c>
      <c r="D10265">
        <v>118</v>
      </c>
    </row>
    <row r="10266" spans="1:4" x14ac:dyDescent="0.25">
      <c r="A10266" t="str">
        <f>T("   920890")</f>
        <v xml:space="preserve">   920890</v>
      </c>
      <c r="B10266" t="str">
        <f>T("   Orchestrions, orgues de Barbarie, oiseaux chanteurs, scies musicales et autres instruments de musique non repris dans le présent chapitre; appeaux, sifflets, cornes d'appel et autres instruments d'appel ou de signalisation à bouche")</f>
        <v xml:space="preserve">   Orchestrions, orgues de Barbarie, oiseaux chanteurs, scies musicales et autres instruments de musique non repris dans le présent chapitre; appeaux, sifflets, cornes d'appel et autres instruments d'appel ou de signalisation à bouche</v>
      </c>
      <c r="C10266">
        <v>773700</v>
      </c>
      <c r="D10266">
        <v>151</v>
      </c>
    </row>
    <row r="10267" spans="1:4" x14ac:dyDescent="0.25">
      <c r="A10267" t="str">
        <f>T("   940169")</f>
        <v xml:space="preserve">   940169</v>
      </c>
      <c r="B10267" t="str">
        <f>T("   Sièges, avec bâti en bois, non rembourrés")</f>
        <v xml:space="preserve">   Sièges, avec bâti en bois, non rembourrés</v>
      </c>
      <c r="C10267">
        <v>719832</v>
      </c>
      <c r="D10267">
        <v>540</v>
      </c>
    </row>
    <row r="10268" spans="1:4" x14ac:dyDescent="0.25">
      <c r="A10268" t="str">
        <f>T("   940179")</f>
        <v xml:space="preserve">   940179</v>
      </c>
      <c r="B10268"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10268">
        <v>2060000</v>
      </c>
      <c r="D10268">
        <v>17880</v>
      </c>
    </row>
    <row r="10269" spans="1:4" x14ac:dyDescent="0.25">
      <c r="A10269" t="str">
        <f>T("   940180")</f>
        <v xml:space="preserve">   940180</v>
      </c>
      <c r="B10269" t="str">
        <f>T("   Sièges, n.d.a.")</f>
        <v xml:space="preserve">   Sièges, n.d.a.</v>
      </c>
      <c r="C10269">
        <v>13236274</v>
      </c>
      <c r="D10269">
        <v>10388</v>
      </c>
    </row>
    <row r="10270" spans="1:4" x14ac:dyDescent="0.25">
      <c r="A10270" t="str">
        <f>T("   940210")</f>
        <v xml:space="preserve">   940210</v>
      </c>
      <c r="B10270"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10270">
        <v>632739</v>
      </c>
      <c r="D10270">
        <v>1315</v>
      </c>
    </row>
    <row r="10271" spans="1:4" x14ac:dyDescent="0.25">
      <c r="A10271" t="str">
        <f>T("   940290")</f>
        <v xml:space="preserve">   940290</v>
      </c>
      <c r="B10271"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10271">
        <v>1707197</v>
      </c>
      <c r="D10271">
        <v>2760</v>
      </c>
    </row>
    <row r="10272" spans="1:4" x14ac:dyDescent="0.25">
      <c r="A10272" t="str">
        <f>T("   940320")</f>
        <v xml:space="preserve">   940320</v>
      </c>
      <c r="B1027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0272">
        <v>75645</v>
      </c>
      <c r="D10272">
        <v>640</v>
      </c>
    </row>
    <row r="10273" spans="1:4" x14ac:dyDescent="0.25">
      <c r="A10273" t="str">
        <f>T("   940330")</f>
        <v xml:space="preserve">   940330</v>
      </c>
      <c r="B10273" t="str">
        <f>T("   Meubles de bureau en bois (sauf sièges)")</f>
        <v xml:space="preserve">   Meubles de bureau en bois (sauf sièges)</v>
      </c>
      <c r="C10273">
        <v>4216099</v>
      </c>
      <c r="D10273">
        <v>9920</v>
      </c>
    </row>
    <row r="10274" spans="1:4" x14ac:dyDescent="0.25">
      <c r="A10274" t="str">
        <f>T("   940350")</f>
        <v xml:space="preserve">   940350</v>
      </c>
      <c r="B10274" t="str">
        <f>T("   Meubles pour chambres à coucher, en bois (sauf sièges)")</f>
        <v xml:space="preserve">   Meubles pour chambres à coucher, en bois (sauf sièges)</v>
      </c>
      <c r="C10274">
        <v>11049153</v>
      </c>
      <c r="D10274">
        <v>54700</v>
      </c>
    </row>
    <row r="10275" spans="1:4" x14ac:dyDescent="0.25">
      <c r="A10275" t="str">
        <f>T("   940360")</f>
        <v xml:space="preserve">   940360</v>
      </c>
      <c r="B10275" t="str">
        <f>T("   Meubles en bois (autres que pour bureaux, cuisines ou chambres à coucher et autres que sièges)")</f>
        <v xml:space="preserve">   Meubles en bois (autres que pour bureaux, cuisines ou chambres à coucher et autres que sièges)</v>
      </c>
      <c r="C10275">
        <v>31037459</v>
      </c>
      <c r="D10275">
        <v>103030</v>
      </c>
    </row>
    <row r="10276" spans="1:4" x14ac:dyDescent="0.25">
      <c r="A10276" t="str">
        <f>T("   940389")</f>
        <v xml:space="preserve">   940389</v>
      </c>
      <c r="B10276"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0276">
        <v>15127</v>
      </c>
      <c r="D10276">
        <v>350</v>
      </c>
    </row>
    <row r="10277" spans="1:4" x14ac:dyDescent="0.25">
      <c r="A10277" t="str">
        <f>T("   940421")</f>
        <v xml:space="preserve">   940421</v>
      </c>
      <c r="B10277" t="str">
        <f>T("   Matelas en caoutchouc alvéolaire ou en matières plastiques alvéolaires")</f>
        <v xml:space="preserve">   Matelas en caoutchouc alvéolaire ou en matières plastiques alvéolaires</v>
      </c>
      <c r="C10277">
        <v>5984425</v>
      </c>
      <c r="D10277">
        <v>8000</v>
      </c>
    </row>
    <row r="10278" spans="1:4" x14ac:dyDescent="0.25">
      <c r="A10278" t="str">
        <f>T("   940429")</f>
        <v xml:space="preserve">   940429</v>
      </c>
      <c r="B10278"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278">
        <v>338167</v>
      </c>
      <c r="D10278">
        <v>2080</v>
      </c>
    </row>
    <row r="10279" spans="1:4" x14ac:dyDescent="0.25">
      <c r="A10279" t="str">
        <f>T("   940490")</f>
        <v xml:space="preserve">   940490</v>
      </c>
      <c r="B10279" t="s">
        <v>537</v>
      </c>
      <c r="C10279">
        <v>1203802</v>
      </c>
      <c r="D10279">
        <v>1520</v>
      </c>
    </row>
    <row r="10280" spans="1:4" x14ac:dyDescent="0.25">
      <c r="A10280" t="str">
        <f>T("   940520")</f>
        <v xml:space="preserve">   940520</v>
      </c>
      <c r="B10280" t="str">
        <f>T("   Lampes de chevet, lampes de bureau et lampadaires d'intérieur, électriques")</f>
        <v xml:space="preserve">   Lampes de chevet, lampes de bureau et lampadaires d'intérieur, électriques</v>
      </c>
      <c r="C10280">
        <v>205294</v>
      </c>
      <c r="D10280">
        <v>840</v>
      </c>
    </row>
    <row r="10281" spans="1:4" x14ac:dyDescent="0.25">
      <c r="A10281" t="str">
        <f>T("   940540")</f>
        <v xml:space="preserve">   940540</v>
      </c>
      <c r="B10281" t="str">
        <f>T("   Appareils d'éclairage électrique, n.d.a.")</f>
        <v xml:space="preserve">   Appareils d'éclairage électrique, n.d.a.</v>
      </c>
      <c r="C10281">
        <v>216098</v>
      </c>
      <c r="D10281">
        <v>740</v>
      </c>
    </row>
    <row r="10282" spans="1:4" x14ac:dyDescent="0.25">
      <c r="A10282" t="str">
        <f>T("   940550")</f>
        <v xml:space="preserve">   940550</v>
      </c>
      <c r="B10282" t="str">
        <f>T("   Appareils d'éclairage non-électriques, n.d.a.")</f>
        <v xml:space="preserve">   Appareils d'éclairage non-électriques, n.d.a.</v>
      </c>
      <c r="C10282">
        <v>133982</v>
      </c>
      <c r="D10282">
        <v>600</v>
      </c>
    </row>
    <row r="10283" spans="1:4" x14ac:dyDescent="0.25">
      <c r="A10283" t="str">
        <f>T("   940600")</f>
        <v xml:space="preserve">   940600</v>
      </c>
      <c r="B10283" t="str">
        <f>T("   Constructions préfabriquées, même incomplètes ou non encore montées")</f>
        <v xml:space="preserve">   Constructions préfabriquées, même incomplètes ou non encore montées</v>
      </c>
      <c r="C10283">
        <v>9060000</v>
      </c>
      <c r="D10283">
        <v>14000</v>
      </c>
    </row>
    <row r="10284" spans="1:4" x14ac:dyDescent="0.25">
      <c r="A10284" t="str">
        <f>T("   950100")</f>
        <v xml:space="preserve">   950100</v>
      </c>
      <c r="B10284"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10284">
        <v>3276</v>
      </c>
      <c r="D10284">
        <v>20</v>
      </c>
    </row>
    <row r="10285" spans="1:4" x14ac:dyDescent="0.25">
      <c r="A10285" t="str">
        <f>T("   950349")</f>
        <v xml:space="preserve">   950349</v>
      </c>
      <c r="B10285" t="str">
        <f>T("   JOUETS REPRÉSENTANT DES ANIMAUX OU DES CRÉATURES NON-HUMAINES, NON-REMBOURRÉS")</f>
        <v xml:space="preserve">   JOUETS REPRÉSENTANT DES ANIMAUX OU DES CRÉATURES NON-HUMAINES, NON-REMBOURRÉS</v>
      </c>
      <c r="C10285">
        <v>43220</v>
      </c>
      <c r="D10285">
        <v>400</v>
      </c>
    </row>
    <row r="10286" spans="1:4" x14ac:dyDescent="0.25">
      <c r="A10286" t="str">
        <f>T("   950430")</f>
        <v xml:space="preserve">   950430</v>
      </c>
      <c r="B10286" t="s">
        <v>538</v>
      </c>
      <c r="C10286">
        <v>93238617</v>
      </c>
      <c r="D10286">
        <v>2556</v>
      </c>
    </row>
    <row r="10287" spans="1:4" x14ac:dyDescent="0.25">
      <c r="A10287" t="str">
        <f>T("   950440")</f>
        <v xml:space="preserve">   950440</v>
      </c>
      <c r="B10287" t="str">
        <f>T("   Cartes à jouer")</f>
        <v xml:space="preserve">   Cartes à jouer</v>
      </c>
      <c r="C10287">
        <v>10786248</v>
      </c>
      <c r="D10287">
        <v>43330</v>
      </c>
    </row>
    <row r="10288" spans="1:4" x14ac:dyDescent="0.25">
      <c r="A10288" t="str">
        <f>T("   950490")</f>
        <v xml:space="preserve">   950490</v>
      </c>
      <c r="B10288" t="s">
        <v>539</v>
      </c>
      <c r="C10288">
        <v>3727242</v>
      </c>
      <c r="D10288">
        <v>2005</v>
      </c>
    </row>
    <row r="10289" spans="1:4" x14ac:dyDescent="0.25">
      <c r="A10289" t="str">
        <f>T("   950510")</f>
        <v xml:space="preserve">   950510</v>
      </c>
      <c r="B10289" t="str">
        <f>T("   Articles pour fêtes de Noël (sauf bougies et guirlandes électriques)")</f>
        <v xml:space="preserve">   Articles pour fêtes de Noël (sauf bougies et guirlandes électriques)</v>
      </c>
      <c r="C10289">
        <v>324150</v>
      </c>
      <c r="D10289">
        <v>10480</v>
      </c>
    </row>
    <row r="10290" spans="1:4" x14ac:dyDescent="0.25">
      <c r="A10290" t="str">
        <f>T("   950691")</f>
        <v xml:space="preserve">   950691</v>
      </c>
      <c r="B10290" t="str">
        <f>T("   Articles et matériel pour la culture physique, la gymnastique ou l'athlétisme")</f>
        <v xml:space="preserve">   Articles et matériel pour la culture physique, la gymnastique ou l'athlétisme</v>
      </c>
      <c r="C10290">
        <v>54025</v>
      </c>
      <c r="D10290">
        <v>140</v>
      </c>
    </row>
    <row r="10291" spans="1:4" x14ac:dyDescent="0.25">
      <c r="A10291" t="str">
        <f>T("   950699")</f>
        <v xml:space="preserve">   950699</v>
      </c>
      <c r="B10291" t="str">
        <f>T("   Articles et matériel pour le sport et les jeux de plein air, n.d.a.; piscines et pataugeoires")</f>
        <v xml:space="preserve">   Articles et matériel pour le sport et les jeux de plein air, n.d.a.; piscines et pataugeoires</v>
      </c>
      <c r="C10291">
        <v>25670</v>
      </c>
      <c r="D10291">
        <v>100</v>
      </c>
    </row>
    <row r="10292" spans="1:4" x14ac:dyDescent="0.25">
      <c r="A10292" t="str">
        <f>T("   960310")</f>
        <v xml:space="preserve">   960310</v>
      </c>
      <c r="B10292" t="str">
        <f>T("   Balais et balayettes consistant en matières végétales en bottes liées")</f>
        <v xml:space="preserve">   Balais et balayettes consistant en matières végétales en bottes liées</v>
      </c>
      <c r="C10292">
        <v>249703</v>
      </c>
      <c r="D10292">
        <v>593</v>
      </c>
    </row>
    <row r="10293" spans="1:4" x14ac:dyDescent="0.25">
      <c r="A10293" t="str">
        <f>T("   960329")</f>
        <v xml:space="preserve">   960329</v>
      </c>
      <c r="B10293"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10293">
        <v>237708</v>
      </c>
      <c r="D10293">
        <v>213</v>
      </c>
    </row>
    <row r="10294" spans="1:4" x14ac:dyDescent="0.25">
      <c r="A10294" t="str">
        <f>T("   960340")</f>
        <v xml:space="preserve">   960340</v>
      </c>
      <c r="B10294"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10294">
        <v>328000</v>
      </c>
      <c r="D10294">
        <v>510</v>
      </c>
    </row>
    <row r="10295" spans="1:4" x14ac:dyDescent="0.25">
      <c r="A10295" t="str">
        <f>T("   960390")</f>
        <v xml:space="preserve">   960390</v>
      </c>
      <c r="B10295"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295">
        <v>462432</v>
      </c>
      <c r="D10295">
        <v>357</v>
      </c>
    </row>
    <row r="10296" spans="1:4" x14ac:dyDescent="0.25">
      <c r="A10296" t="str">
        <f>T("   960622")</f>
        <v xml:space="preserve">   960622</v>
      </c>
      <c r="B10296" t="str">
        <f>T("   Boutons en métaux communs (non recouverts de matières textiles) (sauf boutons-pressions et boutons de manchette)")</f>
        <v xml:space="preserve">   Boutons en métaux communs (non recouverts de matières textiles) (sauf boutons-pressions et boutons de manchette)</v>
      </c>
      <c r="C10296">
        <v>2650825</v>
      </c>
      <c r="D10296">
        <v>50</v>
      </c>
    </row>
    <row r="10297" spans="1:4" x14ac:dyDescent="0.25">
      <c r="A10297" t="str">
        <f>T("   960629")</f>
        <v xml:space="preserve">   960629</v>
      </c>
      <c r="B10297"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10297">
        <v>2655384</v>
      </c>
      <c r="D10297">
        <v>18250</v>
      </c>
    </row>
    <row r="10298" spans="1:4" x14ac:dyDescent="0.25">
      <c r="A10298" t="str">
        <f>T("   960719")</f>
        <v xml:space="preserve">   960719</v>
      </c>
      <c r="B10298" t="str">
        <f>T("   Fermetures à glissière sans agrafes et autres qu'en métaux communs")</f>
        <v xml:space="preserve">   Fermetures à glissière sans agrafes et autres qu'en métaux communs</v>
      </c>
      <c r="C10298">
        <v>300000</v>
      </c>
      <c r="D10298">
        <v>356</v>
      </c>
    </row>
    <row r="10299" spans="1:4" x14ac:dyDescent="0.25">
      <c r="A10299" t="str">
        <f>T("   960810")</f>
        <v xml:space="preserve">   960810</v>
      </c>
      <c r="B10299" t="str">
        <f>T("   Stylos et crayons à bille")</f>
        <v xml:space="preserve">   Stylos et crayons à bille</v>
      </c>
      <c r="C10299">
        <v>4744730</v>
      </c>
      <c r="D10299">
        <v>6372</v>
      </c>
    </row>
    <row r="10300" spans="1:4" x14ac:dyDescent="0.25">
      <c r="A10300" t="str">
        <f>T("   960910")</f>
        <v xml:space="preserve">   960910</v>
      </c>
      <c r="B10300" t="str">
        <f>T("   Crayons à gaine")</f>
        <v xml:space="preserve">   Crayons à gaine</v>
      </c>
      <c r="C10300">
        <v>21610</v>
      </c>
      <c r="D10300">
        <v>10</v>
      </c>
    </row>
    <row r="10301" spans="1:4" x14ac:dyDescent="0.25">
      <c r="A10301" t="str">
        <f>T("   961000")</f>
        <v xml:space="preserve">   961000</v>
      </c>
      <c r="B10301" t="str">
        <f>T("   Ardoises et tableaux pour l'écriture ou le dessin, même encadrés")</f>
        <v xml:space="preserve">   Ardoises et tableaux pour l'écriture ou le dessin, même encadrés</v>
      </c>
      <c r="C10301">
        <v>400000</v>
      </c>
      <c r="D10301">
        <v>5000</v>
      </c>
    </row>
    <row r="10302" spans="1:4" x14ac:dyDescent="0.25">
      <c r="A10302" t="str">
        <f>T("   961511")</f>
        <v xml:space="preserve">   961511</v>
      </c>
      <c r="B10302" t="str">
        <f>T("   PEIGNÉS À COIFFER, PEIGNÉS DE COIFFURE, BARRETTES ET ARTICLES SIMIL., EN CAOUTCHOUC DURCI OU EN MATIÈRES PLASTIQUES")</f>
        <v xml:space="preserve">   PEIGNÉS À COIFFER, PEIGNÉS DE COIFFURE, BARRETTES ET ARTICLES SIMIL., EN CAOUTCHOUC DURCI OU EN MATIÈRES PLASTIQUES</v>
      </c>
      <c r="C10302">
        <v>2506000</v>
      </c>
      <c r="D10302">
        <v>34470</v>
      </c>
    </row>
    <row r="10303" spans="1:4" x14ac:dyDescent="0.25">
      <c r="A10303" t="str">
        <f>T("   961590")</f>
        <v xml:space="preserve">   961590</v>
      </c>
      <c r="B10303" t="str">
        <f>T("   Epingles à cheveux; pince-guiches, ondulateurs, bigoudis et articles pour la coiffure (autres que ceux du n° 8516); parties")</f>
        <v xml:space="preserve">   Epingles à cheveux; pince-guiches, ondulateurs, bigoudis et articles pour la coiffure (autres que ceux du n° 8516); parties</v>
      </c>
      <c r="C10303">
        <v>43223</v>
      </c>
      <c r="D10303">
        <v>60</v>
      </c>
    </row>
    <row r="10304" spans="1:4" x14ac:dyDescent="0.25">
      <c r="A10304" t="str">
        <f>T("   961700")</f>
        <v xml:space="preserve">   961700</v>
      </c>
      <c r="B10304"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304">
        <v>1845172</v>
      </c>
      <c r="D10304">
        <v>6670</v>
      </c>
    </row>
    <row r="10305" spans="1:4" x14ac:dyDescent="0.25">
      <c r="A10305" t="str">
        <f>T("   961800")</f>
        <v xml:space="preserve">   961800</v>
      </c>
      <c r="B10305"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305">
        <v>64829</v>
      </c>
      <c r="D10305">
        <v>10</v>
      </c>
    </row>
    <row r="10306" spans="1:4" x14ac:dyDescent="0.25">
      <c r="A10306" t="str">
        <f>T("TH")</f>
        <v>TH</v>
      </c>
      <c r="B10306" t="str">
        <f>T("Thaïlande")</f>
        <v>Thaïlande</v>
      </c>
    </row>
    <row r="10307" spans="1:4" x14ac:dyDescent="0.25">
      <c r="A10307" t="str">
        <f>T("   ZZ_Total_Produit_SH6")</f>
        <v xml:space="preserve">   ZZ_Total_Produit_SH6</v>
      </c>
      <c r="B10307" t="str">
        <f>T("   ZZ_Total_Produit_SH6")</f>
        <v xml:space="preserve">   ZZ_Total_Produit_SH6</v>
      </c>
      <c r="C10307">
        <v>96584977330.880005</v>
      </c>
      <c r="D10307">
        <v>431406993.30000001</v>
      </c>
    </row>
    <row r="10308" spans="1:4" x14ac:dyDescent="0.25">
      <c r="A10308" t="str">
        <f>T("   030329")</f>
        <v xml:space="preserve">   030329</v>
      </c>
      <c r="B10308" t="str">
        <f>T("   Salmonidés, congelés (à l'excl. des saumons du Pacifique, de l'Atlantique et du Danube ainsi que des truites)")</f>
        <v xml:space="preserve">   Salmonidés, congelés (à l'excl. des saumons du Pacifique, de l'Atlantique et du Danube ainsi que des truites)</v>
      </c>
      <c r="C10308">
        <v>5175524</v>
      </c>
      <c r="D10308">
        <v>23000</v>
      </c>
    </row>
    <row r="10309" spans="1:4" x14ac:dyDescent="0.25">
      <c r="A10309" t="str">
        <f>T("   090220")</f>
        <v xml:space="preserve">   090220</v>
      </c>
      <c r="B10309" t="str">
        <f>T("   Thé vert [thé non fermenté], présenté en emballages immédiats d'un contenu &gt; 3 kg")</f>
        <v xml:space="preserve">   Thé vert [thé non fermenté], présenté en emballages immédiats d'un contenu &gt; 3 kg</v>
      </c>
      <c r="C10309">
        <v>202036</v>
      </c>
      <c r="D10309">
        <v>1118</v>
      </c>
    </row>
    <row r="10310" spans="1:4" x14ac:dyDescent="0.25">
      <c r="A10310" t="str">
        <f>T("   100610")</f>
        <v xml:space="preserve">   100610</v>
      </c>
      <c r="B10310" t="str">
        <f>T("   Riz en paille [riz paddy]")</f>
        <v xml:space="preserve">   Riz en paille [riz paddy]</v>
      </c>
      <c r="C10310">
        <v>138002185</v>
      </c>
      <c r="D10310">
        <v>1380000</v>
      </c>
    </row>
    <row r="10311" spans="1:4" x14ac:dyDescent="0.25">
      <c r="A10311" t="str">
        <f>T("   100620")</f>
        <v xml:space="preserve">   100620</v>
      </c>
      <c r="B10311" t="str">
        <f>T("   Riz décortiqué [riz cargo ou riz brun]")</f>
        <v xml:space="preserve">   Riz décortiqué [riz cargo ou riz brun]</v>
      </c>
      <c r="C10311">
        <v>15850361050.097</v>
      </c>
      <c r="D10311">
        <v>47226576</v>
      </c>
    </row>
    <row r="10312" spans="1:4" x14ac:dyDescent="0.25">
      <c r="A10312" t="str">
        <f>T("   100630")</f>
        <v xml:space="preserve">   100630</v>
      </c>
      <c r="B10312" t="str">
        <f>T("   Riz semi-blanchi ou blanchi, même poli ou glacé")</f>
        <v xml:space="preserve">   Riz semi-blanchi ou blanchi, même poli ou glacé</v>
      </c>
      <c r="C10312">
        <v>59179060112.722</v>
      </c>
      <c r="D10312">
        <v>224530459</v>
      </c>
    </row>
    <row r="10313" spans="1:4" x14ac:dyDescent="0.25">
      <c r="A10313" t="str">
        <f>T("   100640")</f>
        <v xml:space="preserve">   100640</v>
      </c>
      <c r="B10313" t="str">
        <f>T("   Riz en brisures")</f>
        <v xml:space="preserve">   Riz en brisures</v>
      </c>
      <c r="C10313">
        <v>16492371604.513</v>
      </c>
      <c r="D10313">
        <v>146729749</v>
      </c>
    </row>
    <row r="10314" spans="1:4" x14ac:dyDescent="0.25">
      <c r="A10314" t="str">
        <f>T("   110900")</f>
        <v xml:space="preserve">   110900</v>
      </c>
      <c r="B10314" t="str">
        <f>T("   Gluten de froment [blé], même à l'état sec")</f>
        <v xml:space="preserve">   Gluten de froment [blé], même à l'état sec</v>
      </c>
      <c r="C10314">
        <v>11496747</v>
      </c>
      <c r="D10314">
        <v>10000</v>
      </c>
    </row>
    <row r="10315" spans="1:4" x14ac:dyDescent="0.25">
      <c r="A10315" t="str">
        <f>T("   151550")</f>
        <v xml:space="preserve">   151550</v>
      </c>
      <c r="B10315" t="str">
        <f>T("   Huile de sésame et ses fractions, même raffinées, mais non chimiquement modifiées")</f>
        <v xml:space="preserve">   Huile de sésame et ses fractions, même raffinées, mais non chimiquement modifiées</v>
      </c>
      <c r="C10315">
        <v>299500</v>
      </c>
      <c r="D10315">
        <v>1198</v>
      </c>
    </row>
    <row r="10316" spans="1:4" x14ac:dyDescent="0.25">
      <c r="A10316" t="str">
        <f>T("   160413")</f>
        <v xml:space="preserve">   160413</v>
      </c>
      <c r="B10316"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0316">
        <v>5619654</v>
      </c>
      <c r="D10316">
        <v>15500</v>
      </c>
    </row>
    <row r="10317" spans="1:4" x14ac:dyDescent="0.25">
      <c r="A10317" t="str">
        <f>T("   170191")</f>
        <v xml:space="preserve">   170191</v>
      </c>
      <c r="B10317" t="str">
        <f>T("   Sucres de canne ou de betterave, à l'état solide, additionnés d'aromatisants ou de colorants")</f>
        <v xml:space="preserve">   Sucres de canne ou de betterave, à l'état solide, additionnés d'aromatisants ou de colorants</v>
      </c>
      <c r="C10317">
        <v>198451976.801</v>
      </c>
      <c r="D10317">
        <v>1831412</v>
      </c>
    </row>
    <row r="10318" spans="1:4" x14ac:dyDescent="0.25">
      <c r="A10318" t="str">
        <f>T("   170199")</f>
        <v xml:space="preserve">   170199</v>
      </c>
      <c r="B1031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318">
        <v>805537270.74699998</v>
      </c>
      <c r="D10318">
        <v>3200000</v>
      </c>
    </row>
    <row r="10319" spans="1:4" x14ac:dyDescent="0.25">
      <c r="A10319" t="str">
        <f>T("   170220")</f>
        <v xml:space="preserve">   170220</v>
      </c>
      <c r="B10319" t="str">
        <f>T("   Sucre d'érable, à l'état solide, et sirop d'érable, sans addition d'aromatisants ou de colorants")</f>
        <v xml:space="preserve">   Sucre d'érable, à l'état solide, et sirop d'érable, sans addition d'aromatisants ou de colorants</v>
      </c>
      <c r="C10319">
        <v>120300000</v>
      </c>
      <c r="D10319">
        <v>940000</v>
      </c>
    </row>
    <row r="10320" spans="1:4" x14ac:dyDescent="0.25">
      <c r="A10320" t="str">
        <f>T("   170290")</f>
        <v xml:space="preserve">   170290</v>
      </c>
      <c r="B10320" t="s">
        <v>46</v>
      </c>
      <c r="C10320">
        <v>150000000</v>
      </c>
      <c r="D10320">
        <v>1250000</v>
      </c>
    </row>
    <row r="10321" spans="1:4" x14ac:dyDescent="0.25">
      <c r="A10321" t="str">
        <f>T("   170490")</f>
        <v xml:space="preserve">   170490</v>
      </c>
      <c r="B10321" t="str">
        <f>T("   Sucreries sans cacao, y.c. le chocolat blanc (à l'excl. des gommes à mâcher)")</f>
        <v xml:space="preserve">   Sucreries sans cacao, y.c. le chocolat blanc (à l'excl. des gommes à mâcher)</v>
      </c>
      <c r="C10321">
        <v>3731212</v>
      </c>
      <c r="D10321">
        <v>27853</v>
      </c>
    </row>
    <row r="10322" spans="1:4" x14ac:dyDescent="0.25">
      <c r="A10322" t="str">
        <f>T("   190190")</f>
        <v xml:space="preserve">   190190</v>
      </c>
      <c r="B10322" t="s">
        <v>50</v>
      </c>
      <c r="C10322">
        <v>459172</v>
      </c>
      <c r="D10322">
        <v>1614</v>
      </c>
    </row>
    <row r="10323" spans="1:4" x14ac:dyDescent="0.25">
      <c r="A10323" t="str">
        <f>T("   190219")</f>
        <v xml:space="preserve">   190219</v>
      </c>
      <c r="B10323" t="str">
        <f>T("   PÂTES ALIMENTAIRES NON-CUITES NI FARCIES NI AUTREMENT PRÉPARÉES, NE CONTENANT PAS D'OEUFS")</f>
        <v xml:space="preserve">   PÂTES ALIMENTAIRES NON-CUITES NI FARCIES NI AUTREMENT PRÉPARÉES, NE CONTENANT PAS D'OEUFS</v>
      </c>
      <c r="C10323">
        <v>518208</v>
      </c>
      <c r="D10323">
        <v>1503</v>
      </c>
    </row>
    <row r="10324" spans="1:4" x14ac:dyDescent="0.25">
      <c r="A10324" t="str">
        <f>T("   190531")</f>
        <v xml:space="preserve">   190531</v>
      </c>
      <c r="B10324" t="str">
        <f>T("   Biscuits additionnés d'édulcorants")</f>
        <v xml:space="preserve">   Biscuits additionnés d'édulcorants</v>
      </c>
      <c r="C10324">
        <v>188449126</v>
      </c>
      <c r="D10324">
        <v>363614</v>
      </c>
    </row>
    <row r="10325" spans="1:4" x14ac:dyDescent="0.25">
      <c r="A10325" t="str">
        <f>T("   200980")</f>
        <v xml:space="preserve">   200980</v>
      </c>
      <c r="B1032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325">
        <v>1771000</v>
      </c>
      <c r="D10325">
        <v>19457</v>
      </c>
    </row>
    <row r="10326" spans="1:4" x14ac:dyDescent="0.25">
      <c r="A10326" t="str">
        <f>T("   210390")</f>
        <v xml:space="preserve">   210390</v>
      </c>
      <c r="B1032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326">
        <v>567405</v>
      </c>
      <c r="D10326">
        <v>1740</v>
      </c>
    </row>
    <row r="10327" spans="1:4" x14ac:dyDescent="0.25">
      <c r="A10327" t="str">
        <f>T("   210690")</f>
        <v xml:space="preserve">   210690</v>
      </c>
      <c r="B10327" t="str">
        <f>T("   Préparations alimentaires, n.d.a.")</f>
        <v xml:space="preserve">   Préparations alimentaires, n.d.a.</v>
      </c>
      <c r="C10327">
        <v>657272</v>
      </c>
      <c r="D10327">
        <v>4185</v>
      </c>
    </row>
    <row r="10328" spans="1:4" x14ac:dyDescent="0.25">
      <c r="A10328" t="str">
        <f>T("   220210")</f>
        <v xml:space="preserve">   220210</v>
      </c>
      <c r="B10328"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328">
        <v>1948000</v>
      </c>
      <c r="D10328">
        <v>20189</v>
      </c>
    </row>
    <row r="10329" spans="1:4" x14ac:dyDescent="0.25">
      <c r="A10329" t="str">
        <f>T("   330790")</f>
        <v xml:space="preserve">   330790</v>
      </c>
      <c r="B10329" t="str">
        <f>T("   Dépilatoires, autres produits de parfumerie ou de toilette préparés et autres préparations cosmétiques, n.d.a.")</f>
        <v xml:space="preserve">   Dépilatoires, autres produits de parfumerie ou de toilette préparés et autres préparations cosmétiques, n.d.a.</v>
      </c>
      <c r="C10329">
        <v>1400878</v>
      </c>
      <c r="D10329">
        <v>3214</v>
      </c>
    </row>
    <row r="10330" spans="1:4" x14ac:dyDescent="0.25">
      <c r="A10330" t="str">
        <f>T("   340111")</f>
        <v xml:space="preserve">   340111</v>
      </c>
      <c r="B10330" t="s">
        <v>107</v>
      </c>
      <c r="C10330">
        <v>7869933</v>
      </c>
      <c r="D10330">
        <v>36443</v>
      </c>
    </row>
    <row r="10331" spans="1:4" x14ac:dyDescent="0.25">
      <c r="A10331" t="str">
        <f>T("   340220")</f>
        <v xml:space="preserve">   340220</v>
      </c>
      <c r="B10331" t="s">
        <v>109</v>
      </c>
      <c r="C10331">
        <v>121353</v>
      </c>
      <c r="D10331">
        <v>187</v>
      </c>
    </row>
    <row r="10332" spans="1:4" x14ac:dyDescent="0.25">
      <c r="A10332" t="str">
        <f>T("   340399")</f>
        <v xml:space="preserve">   340399</v>
      </c>
      <c r="B10332" t="s">
        <v>112</v>
      </c>
      <c r="C10332">
        <v>3200475</v>
      </c>
      <c r="D10332">
        <v>9068</v>
      </c>
    </row>
    <row r="10333" spans="1:4" x14ac:dyDescent="0.25">
      <c r="A10333" t="str">
        <f>T("   350699")</f>
        <v xml:space="preserve">   350699</v>
      </c>
      <c r="B10333" t="str">
        <f>T("   Colles et autres adhésifs préparés, n.d.a.")</f>
        <v xml:space="preserve">   Colles et autres adhésifs préparés, n.d.a.</v>
      </c>
      <c r="C10333">
        <v>3561863</v>
      </c>
      <c r="D10333">
        <v>20014</v>
      </c>
    </row>
    <row r="10334" spans="1:4" x14ac:dyDescent="0.25">
      <c r="A10334" t="str">
        <f>T("   390120")</f>
        <v xml:space="preserve">   390120</v>
      </c>
      <c r="B10334" t="str">
        <f>T("   Polyéthylène d'une densité &gt;= 0,94, sous formes primaires")</f>
        <v xml:space="preserve">   Polyéthylène d'une densité &gt;= 0,94, sous formes primaires</v>
      </c>
      <c r="C10334">
        <v>15460000</v>
      </c>
      <c r="D10334">
        <v>36500</v>
      </c>
    </row>
    <row r="10335" spans="1:4" x14ac:dyDescent="0.25">
      <c r="A10335" t="str">
        <f>T("   390190")</f>
        <v xml:space="preserve">   390190</v>
      </c>
      <c r="B10335"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10335">
        <v>7739666</v>
      </c>
      <c r="D10335">
        <v>17605</v>
      </c>
    </row>
    <row r="10336" spans="1:4" x14ac:dyDescent="0.25">
      <c r="A10336" t="str">
        <f>T("   391810")</f>
        <v xml:space="preserve">   391810</v>
      </c>
      <c r="B10336" t="s">
        <v>137</v>
      </c>
      <c r="C10336">
        <v>5186388</v>
      </c>
      <c r="D10336">
        <v>53940</v>
      </c>
    </row>
    <row r="10337" spans="1:4" x14ac:dyDescent="0.25">
      <c r="A10337" t="str">
        <f>T("   391890")</f>
        <v xml:space="preserve">   391890</v>
      </c>
      <c r="B10337" t="s">
        <v>138</v>
      </c>
      <c r="C10337">
        <v>16010000</v>
      </c>
      <c r="D10337">
        <v>106140</v>
      </c>
    </row>
    <row r="10338" spans="1:4" x14ac:dyDescent="0.25">
      <c r="A10338" t="str">
        <f>T("   392321")</f>
        <v xml:space="preserve">   392321</v>
      </c>
      <c r="B10338" t="str">
        <f>T("   Sacs, sachets, pochettes et cornets, en polymères de l'éthylène")</f>
        <v xml:space="preserve">   Sacs, sachets, pochettes et cornets, en polymères de l'éthylène</v>
      </c>
      <c r="C10338">
        <v>65596</v>
      </c>
      <c r="D10338">
        <v>100</v>
      </c>
    </row>
    <row r="10339" spans="1:4" x14ac:dyDescent="0.25">
      <c r="A10339" t="str">
        <f>T("   392329")</f>
        <v xml:space="preserve">   392329</v>
      </c>
      <c r="B10339" t="str">
        <f>T("   Sacs, sachets, pochettes et cornets, en matières plastiques (autres que les polymères de l'éthylène)")</f>
        <v xml:space="preserve">   Sacs, sachets, pochettes et cornets, en matières plastiques (autres que les polymères de l'éthylène)</v>
      </c>
      <c r="C10339">
        <v>3195000</v>
      </c>
      <c r="D10339">
        <v>12500</v>
      </c>
    </row>
    <row r="10340" spans="1:4" x14ac:dyDescent="0.25">
      <c r="A10340" t="str">
        <f>T("   392490")</f>
        <v xml:space="preserve">   392490</v>
      </c>
      <c r="B10340" t="s">
        <v>157</v>
      </c>
      <c r="C10340">
        <v>3230000</v>
      </c>
      <c r="D10340">
        <v>10700</v>
      </c>
    </row>
    <row r="10341" spans="1:4" x14ac:dyDescent="0.25">
      <c r="A10341" t="str">
        <f>T("   401110")</f>
        <v xml:space="preserve">   401110</v>
      </c>
      <c r="B1034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341">
        <v>22879228</v>
      </c>
      <c r="D10341">
        <v>5586</v>
      </c>
    </row>
    <row r="10342" spans="1:4" x14ac:dyDescent="0.25">
      <c r="A10342" t="str">
        <f>T("   480210")</f>
        <v xml:space="preserve">   480210</v>
      </c>
      <c r="B10342" t="str">
        <f>T("   Papiers et cartons formés feuille à feuille [papiers à la main], de tout format et de toute forme")</f>
        <v xml:space="preserve">   Papiers et cartons formés feuille à feuille [papiers à la main], de tout format et de toute forme</v>
      </c>
      <c r="C10342">
        <v>4300000</v>
      </c>
      <c r="D10342">
        <v>20200</v>
      </c>
    </row>
    <row r="10343" spans="1:4" x14ac:dyDescent="0.25">
      <c r="A10343" t="str">
        <f>T("   490199")</f>
        <v xml:space="preserve">   490199</v>
      </c>
      <c r="B1034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343">
        <v>262372</v>
      </c>
      <c r="D10343">
        <v>140.30000000000001</v>
      </c>
    </row>
    <row r="10344" spans="1:4" x14ac:dyDescent="0.25">
      <c r="A10344" t="str">
        <f>T("   510620")</f>
        <v xml:space="preserve">   510620</v>
      </c>
      <c r="B10344" t="str">
        <f>T("   FILS DE LAINE CARDÉE, CONTENANT EN PRÉDOMINANCE, MAIS &lt; 85% EN POIDS DE LAINE (NON-CONDITIONNÉS POUR LA VENTE AU DÉTAIL)")</f>
        <v xml:space="preserve">   FILS DE LAINE CARDÉE, CONTENANT EN PRÉDOMINANCE, MAIS &lt; 85% EN POIDS DE LAINE (NON-CONDITIONNÉS POUR LA VENTE AU DÉTAIL)</v>
      </c>
      <c r="C10344">
        <v>48000</v>
      </c>
      <c r="D10344">
        <v>100</v>
      </c>
    </row>
    <row r="10345" spans="1:4" x14ac:dyDescent="0.25">
      <c r="A10345" t="str">
        <f>T("   520839")</f>
        <v xml:space="preserve">   520839</v>
      </c>
      <c r="B10345"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10345">
        <v>298724</v>
      </c>
      <c r="D10345">
        <v>154</v>
      </c>
    </row>
    <row r="10346" spans="1:4" x14ac:dyDescent="0.25">
      <c r="A10346" t="str">
        <f>T("   520851")</f>
        <v xml:space="preserve">   520851</v>
      </c>
      <c r="B10346" t="str">
        <f>T("   Tissus de coton, imprimés, à armure toile, contenant &gt;= 85% en poids de coton, d'un poids &lt;= 100 g/m²")</f>
        <v xml:space="preserve">   Tissus de coton, imprimés, à armure toile, contenant &gt;= 85% en poids de coton, d'un poids &lt;= 100 g/m²</v>
      </c>
      <c r="C10346">
        <v>189386132</v>
      </c>
      <c r="D10346">
        <v>265395</v>
      </c>
    </row>
    <row r="10347" spans="1:4" x14ac:dyDescent="0.25">
      <c r="A10347" t="str">
        <f>T("   520852")</f>
        <v xml:space="preserve">   520852</v>
      </c>
      <c r="B10347" t="str">
        <f>T("   Tissus de coton, imprimés, à armure toile, contenant &gt;= 85% en poids de coton, d'un poids &gt; 100 g/m² mais &lt;= 200 g/m²")</f>
        <v xml:space="preserve">   Tissus de coton, imprimés, à armure toile, contenant &gt;= 85% en poids de coton, d'un poids &gt; 100 g/m² mais &lt;= 200 g/m²</v>
      </c>
      <c r="C10347">
        <v>532409411</v>
      </c>
      <c r="D10347">
        <v>680143</v>
      </c>
    </row>
    <row r="10348" spans="1:4" x14ac:dyDescent="0.25">
      <c r="A10348" t="str">
        <f>T("   520859")</f>
        <v xml:space="preserve">   520859</v>
      </c>
      <c r="B10348" t="str">
        <f>T("   TISSUS DE COTON, IMPRIMÉS, CONTENANT &gt;= 85% EN POIDS DE COTON, D'UN POIDS &lt;= 200 G/M² (À L'EXCL. DES TISSUS À ARMURE TOILE)")</f>
        <v xml:space="preserve">   TISSUS DE COTON, IMPRIMÉS, CONTENANT &gt;= 85% EN POIDS DE COTON, D'UN POIDS &lt;= 200 G/M² (À L'EXCL. DES TISSUS À ARMURE TOILE)</v>
      </c>
      <c r="C10348">
        <v>301040994</v>
      </c>
      <c r="D10348">
        <v>426310</v>
      </c>
    </row>
    <row r="10349" spans="1:4" x14ac:dyDescent="0.25">
      <c r="A10349" t="str">
        <f>T("   520951")</f>
        <v xml:space="preserve">   520951</v>
      </c>
      <c r="B10349" t="str">
        <f>T("   Tissus de coton, imprimés, à armure toile, contenant &gt;= 85% en poids de coton, d'un poids &gt; 200 g/m²")</f>
        <v xml:space="preserve">   Tissus de coton, imprimés, à armure toile, contenant &gt;= 85% en poids de coton, d'un poids &gt; 200 g/m²</v>
      </c>
      <c r="C10349">
        <v>170004884</v>
      </c>
      <c r="D10349">
        <v>180198</v>
      </c>
    </row>
    <row r="10350" spans="1:4" x14ac:dyDescent="0.25">
      <c r="A10350" t="str">
        <f>T("   521225")</f>
        <v xml:space="preserve">   521225</v>
      </c>
      <c r="B10350"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0350">
        <v>139598020</v>
      </c>
      <c r="D10350">
        <v>179437</v>
      </c>
    </row>
    <row r="10351" spans="1:4" x14ac:dyDescent="0.25">
      <c r="A10351" t="str">
        <f>T("   551329")</f>
        <v xml:space="preserve">   551329</v>
      </c>
      <c r="B10351"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10351">
        <v>51000712</v>
      </c>
      <c r="D10351">
        <v>58565</v>
      </c>
    </row>
    <row r="10352" spans="1:4" x14ac:dyDescent="0.25">
      <c r="A10352" t="str">
        <f>T("   551349")</f>
        <v xml:space="preserve">   551349</v>
      </c>
      <c r="B10352"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10352">
        <v>54614965</v>
      </c>
      <c r="D10352">
        <v>98313</v>
      </c>
    </row>
    <row r="10353" spans="1:4" x14ac:dyDescent="0.25">
      <c r="A10353" t="str">
        <f>T("   551449")</f>
        <v xml:space="preserve">   551449</v>
      </c>
      <c r="B10353"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10353">
        <v>136001750</v>
      </c>
      <c r="D10353">
        <v>148287</v>
      </c>
    </row>
    <row r="10354" spans="1:4" x14ac:dyDescent="0.25">
      <c r="A10354" t="str">
        <f>T("   551599")</f>
        <v xml:space="preserve">   551599</v>
      </c>
      <c r="B10354" t="s">
        <v>257</v>
      </c>
      <c r="C10354">
        <v>21000000</v>
      </c>
      <c r="D10354">
        <v>53530</v>
      </c>
    </row>
    <row r="10355" spans="1:4" x14ac:dyDescent="0.25">
      <c r="A10355" t="str">
        <f>T("   580219")</f>
        <v xml:space="preserve">   580219</v>
      </c>
      <c r="B10355"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10355">
        <v>68000000</v>
      </c>
      <c r="D10355">
        <v>78428</v>
      </c>
    </row>
    <row r="10356" spans="1:4" x14ac:dyDescent="0.25">
      <c r="A10356" t="str">
        <f>T("   581099")</f>
        <v xml:space="preserve">   581099</v>
      </c>
      <c r="B10356"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10356">
        <v>9761177</v>
      </c>
      <c r="D10356">
        <v>12919</v>
      </c>
    </row>
    <row r="10357" spans="1:4" x14ac:dyDescent="0.25">
      <c r="A10357" t="str">
        <f>T("   590700")</f>
        <v xml:space="preserve">   590700</v>
      </c>
      <c r="B10357"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10357">
        <v>350000</v>
      </c>
      <c r="D10357">
        <v>150</v>
      </c>
    </row>
    <row r="10358" spans="1:4" x14ac:dyDescent="0.25">
      <c r="A10358" t="str">
        <f>T("   610349")</f>
        <v xml:space="preserve">   610349</v>
      </c>
      <c r="B10358"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10358">
        <v>21882529</v>
      </c>
      <c r="D10358">
        <v>36626</v>
      </c>
    </row>
    <row r="10359" spans="1:4" x14ac:dyDescent="0.25">
      <c r="A10359" t="str">
        <f>T("   610510")</f>
        <v xml:space="preserve">   610510</v>
      </c>
      <c r="B10359"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0359">
        <v>13106126</v>
      </c>
      <c r="D10359">
        <v>39216</v>
      </c>
    </row>
    <row r="10360" spans="1:4" x14ac:dyDescent="0.25">
      <c r="A10360" t="str">
        <f>T("   610990")</f>
        <v xml:space="preserve">   610990</v>
      </c>
      <c r="B10360" t="str">
        <f>T("   T-shirts et maillots de corps, en bonneterie, de matières textiles (sauf de coton)")</f>
        <v xml:space="preserve">   T-shirts et maillots de corps, en bonneterie, de matières textiles (sauf de coton)</v>
      </c>
      <c r="C10360">
        <v>6545000</v>
      </c>
      <c r="D10360">
        <v>19608</v>
      </c>
    </row>
    <row r="10361" spans="1:4" x14ac:dyDescent="0.25">
      <c r="A10361" t="str">
        <f>T("   620329")</f>
        <v xml:space="preserve">   620329</v>
      </c>
      <c r="B10361"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10361">
        <v>2621519</v>
      </c>
      <c r="D10361">
        <v>11225</v>
      </c>
    </row>
    <row r="10362" spans="1:4" x14ac:dyDescent="0.25">
      <c r="A10362" t="str">
        <f>T("   620339")</f>
        <v xml:space="preserve">   620339</v>
      </c>
      <c r="B10362"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10362">
        <v>19002508</v>
      </c>
      <c r="D10362">
        <v>58753</v>
      </c>
    </row>
    <row r="10363" spans="1:4" x14ac:dyDescent="0.25">
      <c r="A10363" t="str">
        <f>T("   620349")</f>
        <v xml:space="preserve">   620349</v>
      </c>
      <c r="B10363" t="s">
        <v>289</v>
      </c>
      <c r="C10363">
        <v>700000</v>
      </c>
      <c r="D10363">
        <v>202</v>
      </c>
    </row>
    <row r="10364" spans="1:4" x14ac:dyDescent="0.25">
      <c r="A10364" t="str">
        <f>T("   620590")</f>
        <v xml:space="preserve">   620590</v>
      </c>
      <c r="B1036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364">
        <v>13108704</v>
      </c>
      <c r="D10364">
        <v>39256</v>
      </c>
    </row>
    <row r="10365" spans="1:4" x14ac:dyDescent="0.25">
      <c r="A10365" t="str">
        <f>T("   620690")</f>
        <v xml:space="preserve">   620690</v>
      </c>
      <c r="B10365" t="s">
        <v>291</v>
      </c>
      <c r="C10365">
        <v>17000000</v>
      </c>
      <c r="D10365">
        <v>19900</v>
      </c>
    </row>
    <row r="10366" spans="1:4" x14ac:dyDescent="0.25">
      <c r="A10366" t="str">
        <f>T("   621050")</f>
        <v xml:space="preserve">   621050</v>
      </c>
      <c r="B10366" t="s">
        <v>295</v>
      </c>
      <c r="C10366">
        <v>400000</v>
      </c>
      <c r="D10366">
        <v>484</v>
      </c>
    </row>
    <row r="10367" spans="1:4" x14ac:dyDescent="0.25">
      <c r="A10367" t="str">
        <f>T("   630491")</f>
        <v xml:space="preserve">   630491</v>
      </c>
      <c r="B10367" t="s">
        <v>298</v>
      </c>
      <c r="C10367">
        <v>18185860</v>
      </c>
      <c r="D10367">
        <v>41768</v>
      </c>
    </row>
    <row r="10368" spans="1:4" x14ac:dyDescent="0.25">
      <c r="A10368" t="str">
        <f>T("   630510")</f>
        <v xml:space="preserve">   630510</v>
      </c>
      <c r="B10368" t="str">
        <f>T("   Sacs et sachets d'emballage de jute ou d'autres fibres textiles libériennes du n° 5303")</f>
        <v xml:space="preserve">   Sacs et sachets d'emballage de jute ou d'autres fibres textiles libériennes du n° 5303</v>
      </c>
      <c r="C10368">
        <v>845636</v>
      </c>
      <c r="D10368">
        <v>12868</v>
      </c>
    </row>
    <row r="10369" spans="1:4" x14ac:dyDescent="0.25">
      <c r="A10369" t="str">
        <f>T("   630532")</f>
        <v xml:space="preserve">   630532</v>
      </c>
      <c r="B10369" t="str">
        <f>T("   Contenants souples d'emballage pour matières en vrac, de matières textiles synthétiques ou artificielles")</f>
        <v xml:space="preserve">   Contenants souples d'emballage pour matières en vrac, de matières textiles synthétiques ou artificielles</v>
      </c>
      <c r="C10369">
        <v>160054</v>
      </c>
      <c r="D10369">
        <v>5600</v>
      </c>
    </row>
    <row r="10370" spans="1:4" x14ac:dyDescent="0.25">
      <c r="A10370" t="str">
        <f>T("   630533")</f>
        <v xml:space="preserve">   630533</v>
      </c>
      <c r="B10370"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370">
        <v>782000</v>
      </c>
      <c r="D10370">
        <v>3587</v>
      </c>
    </row>
    <row r="10371" spans="1:4" x14ac:dyDescent="0.25">
      <c r="A10371" t="str">
        <f>T("   630539")</f>
        <v xml:space="preserve">   630539</v>
      </c>
      <c r="B10371"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0371">
        <v>13610000</v>
      </c>
      <c r="D10371">
        <v>41326</v>
      </c>
    </row>
    <row r="10372" spans="1:4" x14ac:dyDescent="0.25">
      <c r="A10372" t="str">
        <f>T("   630590")</f>
        <v xml:space="preserve">   630590</v>
      </c>
      <c r="B10372"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372">
        <v>327635</v>
      </c>
      <c r="D10372">
        <v>644</v>
      </c>
    </row>
    <row r="10373" spans="1:4" x14ac:dyDescent="0.25">
      <c r="A10373" t="str">
        <f>T("   630900")</f>
        <v xml:space="preserve">   630900</v>
      </c>
      <c r="B10373" t="s">
        <v>300</v>
      </c>
      <c r="C10373">
        <v>4369200</v>
      </c>
      <c r="D10373">
        <v>7944</v>
      </c>
    </row>
    <row r="10374" spans="1:4" x14ac:dyDescent="0.25">
      <c r="A10374" t="str">
        <f>T("   731100")</f>
        <v xml:space="preserve">   731100</v>
      </c>
      <c r="B10374"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374">
        <v>948193205</v>
      </c>
      <c r="D10374">
        <v>757630</v>
      </c>
    </row>
    <row r="10375" spans="1:4" x14ac:dyDescent="0.25">
      <c r="A10375" t="str">
        <f>T("   841510")</f>
        <v xml:space="preserve">   841510</v>
      </c>
      <c r="B10375" t="s">
        <v>422</v>
      </c>
      <c r="C10375">
        <v>47665828</v>
      </c>
      <c r="D10375">
        <v>64084</v>
      </c>
    </row>
    <row r="10376" spans="1:4" x14ac:dyDescent="0.25">
      <c r="A10376" t="str">
        <f>T("   841829")</f>
        <v xml:space="preserve">   841829</v>
      </c>
      <c r="B10376" t="str">
        <f>T("   Réfrigérateurs ménagers à absorption, non-électriques")</f>
        <v xml:space="preserve">   Réfrigérateurs ménagers à absorption, non-électriques</v>
      </c>
      <c r="C10376">
        <v>10854133</v>
      </c>
      <c r="D10376">
        <v>9870</v>
      </c>
    </row>
    <row r="10377" spans="1:4" x14ac:dyDescent="0.25">
      <c r="A10377" t="str">
        <f>T("   848190")</f>
        <v xml:space="preserve">   848190</v>
      </c>
      <c r="B10377" t="str">
        <f>T("   Parties d'articles de robinetterie et organes simil. pour tuyauterie, etc., n.d.a.")</f>
        <v xml:space="preserve">   Parties d'articles de robinetterie et organes simil. pour tuyauterie, etc., n.d.a.</v>
      </c>
      <c r="C10377">
        <v>1037204</v>
      </c>
      <c r="D10377">
        <v>28</v>
      </c>
    </row>
    <row r="10378" spans="1:4" x14ac:dyDescent="0.25">
      <c r="A10378" t="str">
        <f>T("   851769")</f>
        <v xml:space="preserve">   851769</v>
      </c>
      <c r="B10378" t="s">
        <v>481</v>
      </c>
      <c r="C10378">
        <v>71029125</v>
      </c>
      <c r="D10378">
        <v>71817</v>
      </c>
    </row>
    <row r="10379" spans="1:4" x14ac:dyDescent="0.25">
      <c r="A10379" t="str">
        <f>T("   853120")</f>
        <v xml:space="preserve">   853120</v>
      </c>
      <c r="B10379"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10379">
        <v>1164823</v>
      </c>
      <c r="D10379">
        <v>80</v>
      </c>
    </row>
    <row r="10380" spans="1:4" x14ac:dyDescent="0.25">
      <c r="A10380" t="str">
        <f>T("   870322")</f>
        <v xml:space="preserve">   870322</v>
      </c>
      <c r="B10380" t="s">
        <v>506</v>
      </c>
      <c r="C10380">
        <v>89971214</v>
      </c>
      <c r="D10380">
        <v>14520</v>
      </c>
    </row>
    <row r="10381" spans="1:4" x14ac:dyDescent="0.25">
      <c r="A10381" t="str">
        <f>T("   870333")</f>
        <v xml:space="preserve">   870333</v>
      </c>
      <c r="B10381" t="s">
        <v>511</v>
      </c>
      <c r="C10381">
        <v>107858584</v>
      </c>
      <c r="D10381">
        <v>15384</v>
      </c>
    </row>
    <row r="10382" spans="1:4" x14ac:dyDescent="0.25">
      <c r="A10382" t="str">
        <f>T("   870421")</f>
        <v xml:space="preserve">   870421</v>
      </c>
      <c r="B10382" t="s">
        <v>512</v>
      </c>
      <c r="C10382">
        <v>251579867</v>
      </c>
      <c r="D10382">
        <v>41140</v>
      </c>
    </row>
    <row r="10383" spans="1:4" x14ac:dyDescent="0.25">
      <c r="A10383" t="str">
        <f>T("TK")</f>
        <v>TK</v>
      </c>
      <c r="B10383" t="str">
        <f>T("Tokelau")</f>
        <v>Tokelau</v>
      </c>
    </row>
    <row r="10384" spans="1:4" x14ac:dyDescent="0.25">
      <c r="A10384" t="str">
        <f>T("   ZZ_Total_Produit_SH6")</f>
        <v xml:space="preserve">   ZZ_Total_Produit_SH6</v>
      </c>
      <c r="B10384" t="str">
        <f>T("   ZZ_Total_Produit_SH6")</f>
        <v xml:space="preserve">   ZZ_Total_Produit_SH6</v>
      </c>
      <c r="C10384">
        <v>11040562</v>
      </c>
      <c r="D10384">
        <v>2921</v>
      </c>
    </row>
    <row r="10385" spans="1:4" x14ac:dyDescent="0.25">
      <c r="A10385" t="str">
        <f>T("   190219")</f>
        <v xml:space="preserve">   190219</v>
      </c>
      <c r="B10385" t="str">
        <f>T("   PÂTES ALIMENTAIRES NON-CUITES NI FARCIES NI AUTREMENT PRÉPARÉES, NE CONTENANT PAS D'OEUFS")</f>
        <v xml:space="preserve">   PÂTES ALIMENTAIRES NON-CUITES NI FARCIES NI AUTREMENT PRÉPARÉES, NE CONTENANT PAS D'OEUFS</v>
      </c>
      <c r="C10385">
        <v>200000</v>
      </c>
      <c r="D10385">
        <v>1050</v>
      </c>
    </row>
    <row r="10386" spans="1:4" x14ac:dyDescent="0.25">
      <c r="A10386" t="str">
        <f>T("   210690")</f>
        <v xml:space="preserve">   210690</v>
      </c>
      <c r="B10386" t="str">
        <f>T("   Préparations alimentaires, n.d.a.")</f>
        <v xml:space="preserve">   Préparations alimentaires, n.d.a.</v>
      </c>
      <c r="C10386">
        <v>200154</v>
      </c>
      <c r="D10386">
        <v>260</v>
      </c>
    </row>
    <row r="10387" spans="1:4" x14ac:dyDescent="0.25">
      <c r="A10387" t="str">
        <f>T("   621050")</f>
        <v xml:space="preserve">   621050</v>
      </c>
      <c r="B10387" t="s">
        <v>295</v>
      </c>
      <c r="C10387">
        <v>1449426</v>
      </c>
      <c r="D10387">
        <v>452</v>
      </c>
    </row>
    <row r="10388" spans="1:4" x14ac:dyDescent="0.25">
      <c r="A10388" t="str">
        <f>T("   846694")</f>
        <v xml:space="preserve">   846694</v>
      </c>
      <c r="B10388" t="str">
        <f>T("   Parties et accessoires pour machines-outils pour le travail du métal avec enlèvement de matière, n.d.a.")</f>
        <v xml:space="preserve">   Parties et accessoires pour machines-outils pour le travail du métal avec enlèvement de matière, n.d.a.</v>
      </c>
      <c r="C10388">
        <v>872242</v>
      </c>
      <c r="D10388">
        <v>7</v>
      </c>
    </row>
    <row r="10389" spans="1:4" x14ac:dyDescent="0.25">
      <c r="A10389" t="str">
        <f>T("   901849")</f>
        <v xml:space="preserve">   901849</v>
      </c>
      <c r="B10389" t="str">
        <f>T("   Instruments et appareils pour l'art dentaire, n.d.a.")</f>
        <v xml:space="preserve">   Instruments et appareils pour l'art dentaire, n.d.a.</v>
      </c>
      <c r="C10389">
        <v>3394593</v>
      </c>
      <c r="D10389">
        <v>396</v>
      </c>
    </row>
    <row r="10390" spans="1:4" x14ac:dyDescent="0.25">
      <c r="A10390" t="str">
        <f>T("   901890")</f>
        <v xml:space="preserve">   901890</v>
      </c>
      <c r="B10390" t="str">
        <f>T("   Instruments et appareils pour la médecine, la chirurgie ou l'art vétérinaire, n.d.a.")</f>
        <v xml:space="preserve">   Instruments et appareils pour la médecine, la chirurgie ou l'art vétérinaire, n.d.a.</v>
      </c>
      <c r="C10390">
        <v>4924147</v>
      </c>
      <c r="D10390">
        <v>756</v>
      </c>
    </row>
    <row r="10391" spans="1:4" x14ac:dyDescent="0.25">
      <c r="A10391" t="str">
        <f>T("TN")</f>
        <v>TN</v>
      </c>
      <c r="B10391" t="str">
        <f>T("Tunisie")</f>
        <v>Tunisie</v>
      </c>
    </row>
    <row r="10392" spans="1:4" x14ac:dyDescent="0.25">
      <c r="A10392" t="str">
        <f>T("   ZZ_Total_Produit_SH6")</f>
        <v xml:space="preserve">   ZZ_Total_Produit_SH6</v>
      </c>
      <c r="B10392" t="str">
        <f>T("   ZZ_Total_Produit_SH6")</f>
        <v xml:space="preserve">   ZZ_Total_Produit_SH6</v>
      </c>
      <c r="C10392">
        <v>4787087373</v>
      </c>
      <c r="D10392">
        <v>14572467</v>
      </c>
    </row>
    <row r="10393" spans="1:4" x14ac:dyDescent="0.25">
      <c r="A10393" t="str">
        <f>T("   020727")</f>
        <v xml:space="preserve">   020727</v>
      </c>
      <c r="B10393" t="str">
        <f>T("   Morceaux et abats comestibles de dindes et dindons [des espèces domestiques], congelés")</f>
        <v xml:space="preserve">   Morceaux et abats comestibles de dindes et dindons [des espèces domestiques], congelés</v>
      </c>
      <c r="C10393">
        <v>15550000</v>
      </c>
      <c r="D10393">
        <v>25000</v>
      </c>
    </row>
    <row r="10394" spans="1:4" x14ac:dyDescent="0.25">
      <c r="A10394" t="str">
        <f>T("   100110")</f>
        <v xml:space="preserve">   100110</v>
      </c>
      <c r="B10394" t="str">
        <f>T("   Froment [blé] dur")</f>
        <v xml:space="preserve">   Froment [blé] dur</v>
      </c>
      <c r="C10394">
        <v>10350000</v>
      </c>
      <c r="D10394">
        <v>69000</v>
      </c>
    </row>
    <row r="10395" spans="1:4" x14ac:dyDescent="0.25">
      <c r="A10395" t="str">
        <f>T("   110100")</f>
        <v xml:space="preserve">   110100</v>
      </c>
      <c r="B10395" t="str">
        <f>T("   Farines de froment [blé] ou de méteil")</f>
        <v xml:space="preserve">   Farines de froment [blé] ou de méteil</v>
      </c>
      <c r="C10395">
        <v>3000000</v>
      </c>
      <c r="D10395">
        <v>20000</v>
      </c>
    </row>
    <row r="10396" spans="1:4" x14ac:dyDescent="0.25">
      <c r="A10396" t="str">
        <f>T("   110311")</f>
        <v xml:space="preserve">   110311</v>
      </c>
      <c r="B10396" t="str">
        <f>T("   Gruaux et semoules de froment [blé]")</f>
        <v xml:space="preserve">   Gruaux et semoules de froment [blé]</v>
      </c>
      <c r="C10396">
        <v>1686684606</v>
      </c>
      <c r="D10396">
        <v>6357500</v>
      </c>
    </row>
    <row r="10397" spans="1:4" x14ac:dyDescent="0.25">
      <c r="A10397" t="str">
        <f>T("   151710")</f>
        <v xml:space="preserve">   151710</v>
      </c>
      <c r="B10397" t="str">
        <f>T("   Margarine (à l'excl. de la margarine liquide)")</f>
        <v xml:space="preserve">   Margarine (à l'excl. de la margarine liquide)</v>
      </c>
      <c r="C10397">
        <v>25552921</v>
      </c>
      <c r="D10397">
        <v>86899</v>
      </c>
    </row>
    <row r="10398" spans="1:4" x14ac:dyDescent="0.25">
      <c r="A10398" t="str">
        <f>T("   151790")</f>
        <v xml:space="preserve">   151790</v>
      </c>
      <c r="B10398" t="s">
        <v>38</v>
      </c>
      <c r="C10398">
        <v>6495000</v>
      </c>
      <c r="D10398">
        <v>21200</v>
      </c>
    </row>
    <row r="10399" spans="1:4" x14ac:dyDescent="0.25">
      <c r="A10399" t="str">
        <f>T("   160413")</f>
        <v xml:space="preserve">   160413</v>
      </c>
      <c r="B10399"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0399">
        <v>2621520</v>
      </c>
      <c r="D10399">
        <v>23000</v>
      </c>
    </row>
    <row r="10400" spans="1:4" x14ac:dyDescent="0.25">
      <c r="A10400" t="str">
        <f>T("   190219")</f>
        <v xml:space="preserve">   190219</v>
      </c>
      <c r="B10400" t="str">
        <f>T("   PÂTES ALIMENTAIRES NON-CUITES NI FARCIES NI AUTREMENT PRÉPARÉES, NE CONTENANT PAS D'OEUFS")</f>
        <v xml:space="preserve">   PÂTES ALIMENTAIRES NON-CUITES NI FARCIES NI AUTREMENT PRÉPARÉES, NE CONTENANT PAS D'OEUFS</v>
      </c>
      <c r="C10400">
        <v>11669375</v>
      </c>
      <c r="D10400">
        <v>52632</v>
      </c>
    </row>
    <row r="10401" spans="1:4" x14ac:dyDescent="0.25">
      <c r="A10401" t="str">
        <f>T("   190220")</f>
        <v xml:space="preserve">   190220</v>
      </c>
      <c r="B10401" t="str">
        <f>T("   Pâtes alimentaires, farcies de viande ou d'autres substances, même cuites ou autrement préparées")</f>
        <v xml:space="preserve">   Pâtes alimentaires, farcies de viande ou d'autres substances, même cuites ou autrement préparées</v>
      </c>
      <c r="C10401">
        <v>5831484</v>
      </c>
      <c r="D10401">
        <v>27320</v>
      </c>
    </row>
    <row r="10402" spans="1:4" x14ac:dyDescent="0.25">
      <c r="A10402" t="str">
        <f>T("   190230")</f>
        <v xml:space="preserve">   190230</v>
      </c>
      <c r="B10402" t="str">
        <f>T("   Pâtes alimentaires, cuites ou autrement préparées (à l'excl. des pâtes alimentaires farcies)")</f>
        <v xml:space="preserve">   Pâtes alimentaires, cuites ou autrement préparées (à l'excl. des pâtes alimentaires farcies)</v>
      </c>
      <c r="C10402">
        <v>11962000</v>
      </c>
      <c r="D10402">
        <v>50600</v>
      </c>
    </row>
    <row r="10403" spans="1:4" x14ac:dyDescent="0.25">
      <c r="A10403" t="str">
        <f>T("   190240")</f>
        <v xml:space="preserve">   190240</v>
      </c>
      <c r="B10403" t="str">
        <f>T("   Couscous, même préparé")</f>
        <v xml:space="preserve">   Couscous, même préparé</v>
      </c>
      <c r="C10403">
        <v>23339074</v>
      </c>
      <c r="D10403">
        <v>86540</v>
      </c>
    </row>
    <row r="10404" spans="1:4" x14ac:dyDescent="0.25">
      <c r="A10404" t="str">
        <f>T("   190590")</f>
        <v xml:space="preserve">   190590</v>
      </c>
      <c r="B10404" t="s">
        <v>52</v>
      </c>
      <c r="C10404">
        <v>27632949</v>
      </c>
      <c r="D10404">
        <v>87943</v>
      </c>
    </row>
    <row r="10405" spans="1:4" x14ac:dyDescent="0.25">
      <c r="A10405" t="str">
        <f>T("   210230")</f>
        <v xml:space="preserve">   210230</v>
      </c>
      <c r="B10405" t="str">
        <f>T("   Poudres à lever préparées")</f>
        <v xml:space="preserve">   Poudres à lever préparées</v>
      </c>
      <c r="C10405">
        <v>10554090</v>
      </c>
      <c r="D10405">
        <v>18020</v>
      </c>
    </row>
    <row r="10406" spans="1:4" x14ac:dyDescent="0.25">
      <c r="A10406" t="str">
        <f>T("   210420")</f>
        <v xml:space="preserve">   210420</v>
      </c>
      <c r="B10406" t="s">
        <v>59</v>
      </c>
      <c r="C10406">
        <v>9724473</v>
      </c>
      <c r="D10406">
        <v>15272</v>
      </c>
    </row>
    <row r="10407" spans="1:4" x14ac:dyDescent="0.25">
      <c r="A10407" t="str">
        <f>T("   220290")</f>
        <v xml:space="preserve">   220290</v>
      </c>
      <c r="B10407" t="str">
        <f>T("   BOISSONS NON-ALCOOLIQUES (À L'EXCL. DES EAUX, DES JUS DE FRUITS OU DE LÉGUMES AINSI QUE DU LAIT)")</f>
        <v xml:space="preserve">   BOISSONS NON-ALCOOLIQUES (À L'EXCL. DES EAUX, DES JUS DE FRUITS OU DE LÉGUMES AINSI QUE DU LAIT)</v>
      </c>
      <c r="C10407">
        <v>15425000</v>
      </c>
      <c r="D10407">
        <v>136980</v>
      </c>
    </row>
    <row r="10408" spans="1:4" x14ac:dyDescent="0.25">
      <c r="A10408" t="str">
        <f>T("   250100")</f>
        <v xml:space="preserve">   250100</v>
      </c>
      <c r="B10408" t="s">
        <v>63</v>
      </c>
      <c r="C10408">
        <v>21732884</v>
      </c>
      <c r="D10408">
        <v>557912</v>
      </c>
    </row>
    <row r="10409" spans="1:4" x14ac:dyDescent="0.25">
      <c r="A10409" t="str">
        <f>T("   252020")</f>
        <v xml:space="preserve">   252020</v>
      </c>
      <c r="B10409" t="str">
        <f>T("   Plâtres, même colorés ou additionnés de faibles quantités d'accélérateurs ou de retardateurs")</f>
        <v xml:space="preserve">   Plâtres, même colorés ou additionnés de faibles quantités d'accélérateurs ou de retardateurs</v>
      </c>
      <c r="C10409">
        <v>103036739</v>
      </c>
      <c r="D10409">
        <v>1937060</v>
      </c>
    </row>
    <row r="10410" spans="1:4" x14ac:dyDescent="0.25">
      <c r="A10410" t="str">
        <f>T("   252321")</f>
        <v xml:space="preserve">   252321</v>
      </c>
      <c r="B10410" t="str">
        <f>T("   Ciments Portland blancs, même colorés artificiellement")</f>
        <v xml:space="preserve">   Ciments Portland blancs, même colorés artificiellement</v>
      </c>
      <c r="C10410">
        <v>51180363</v>
      </c>
      <c r="D10410">
        <v>695600</v>
      </c>
    </row>
    <row r="10411" spans="1:4" x14ac:dyDescent="0.25">
      <c r="A10411" t="str">
        <f>T("   282300")</f>
        <v xml:space="preserve">   282300</v>
      </c>
      <c r="B10411" t="str">
        <f>T("   Oxydes de titane")</f>
        <v xml:space="preserve">   Oxydes de titane</v>
      </c>
      <c r="C10411">
        <v>1868426</v>
      </c>
      <c r="D10411">
        <v>1000</v>
      </c>
    </row>
    <row r="10412" spans="1:4" x14ac:dyDescent="0.25">
      <c r="A10412" t="str">
        <f>T("   282720")</f>
        <v xml:space="preserve">   282720</v>
      </c>
      <c r="B10412" t="str">
        <f>T("   Chlorure de calcium")</f>
        <v xml:space="preserve">   Chlorure de calcium</v>
      </c>
      <c r="C10412">
        <v>24185245</v>
      </c>
      <c r="D10412">
        <v>84000</v>
      </c>
    </row>
    <row r="10413" spans="1:4" x14ac:dyDescent="0.25">
      <c r="A10413" t="str">
        <f>T("   283522")</f>
        <v xml:space="preserve">   283522</v>
      </c>
      <c r="B10413" t="str">
        <f>T("   Phosphates de mono- ou de disodium")</f>
        <v xml:space="preserve">   Phosphates de mono- ou de disodium</v>
      </c>
      <c r="C10413">
        <v>884485</v>
      </c>
      <c r="D10413">
        <v>1000</v>
      </c>
    </row>
    <row r="10414" spans="1:4" x14ac:dyDescent="0.25">
      <c r="A10414" t="str">
        <f>T("   283529")</f>
        <v xml:space="preserve">   283529</v>
      </c>
      <c r="B10414" t="str">
        <f>T("   PHOSPHATES (À L'EXCL. DES PHOSPHATES DE MONOSODIUM, DE DISODIUM, DE POTASSIUM, DE CALCIUM ET DU MERCURE)")</f>
        <v xml:space="preserve">   PHOSPHATES (À L'EXCL. DES PHOSPHATES DE MONOSODIUM, DE DISODIUM, DE POTASSIUM, DE CALCIUM ET DU MERCURE)</v>
      </c>
      <c r="C10414">
        <v>884435</v>
      </c>
      <c r="D10414">
        <v>1000</v>
      </c>
    </row>
    <row r="10415" spans="1:4" x14ac:dyDescent="0.25">
      <c r="A10415" t="str">
        <f>T("   283650")</f>
        <v xml:space="preserve">   283650</v>
      </c>
      <c r="B10415" t="str">
        <f>T("   Carbonate de calcium")</f>
        <v xml:space="preserve">   Carbonate de calcium</v>
      </c>
      <c r="C10415">
        <v>150787657</v>
      </c>
      <c r="D10415">
        <v>2280680</v>
      </c>
    </row>
    <row r="10416" spans="1:4" x14ac:dyDescent="0.25">
      <c r="A10416" t="str">
        <f>T("   291733")</f>
        <v xml:space="preserve">   291733</v>
      </c>
      <c r="B10416" t="str">
        <f>T("   Orthophtalates de dinonyle ou de didécyle")</f>
        <v xml:space="preserve">   Orthophtalates de dinonyle ou de didécyle</v>
      </c>
      <c r="C10416">
        <v>4829893</v>
      </c>
      <c r="D10416">
        <v>2884</v>
      </c>
    </row>
    <row r="10417" spans="1:4" x14ac:dyDescent="0.25">
      <c r="A10417" t="str">
        <f>T("   300120")</f>
        <v xml:space="preserve">   300120</v>
      </c>
      <c r="B10417" t="str">
        <f>T("   Extraits, à usages opothérapiques, de glandes ou d'autres organes ou de leurs sécrétions")</f>
        <v xml:space="preserve">   Extraits, à usages opothérapiques, de glandes ou d'autres organes ou de leurs sécrétions</v>
      </c>
      <c r="C10417">
        <v>225000</v>
      </c>
      <c r="D10417">
        <v>86</v>
      </c>
    </row>
    <row r="10418" spans="1:4" x14ac:dyDescent="0.25">
      <c r="A10418" t="str">
        <f>T("   300490")</f>
        <v xml:space="preserve">   300490</v>
      </c>
      <c r="B10418" t="s">
        <v>84</v>
      </c>
      <c r="C10418">
        <v>7727865</v>
      </c>
      <c r="D10418">
        <v>97</v>
      </c>
    </row>
    <row r="10419" spans="1:4" x14ac:dyDescent="0.25">
      <c r="A10419" t="str">
        <f>T("   320910")</f>
        <v xml:space="preserve">   320910</v>
      </c>
      <c r="B10419" t="str">
        <f>T("   Peintures et vernis à base de polymères acryliques ou vinyliques, dispersés ou dissous dans un milieu aqueux")</f>
        <v xml:space="preserve">   Peintures et vernis à base de polymères acryliques ou vinyliques, dispersés ou dissous dans un milieu aqueux</v>
      </c>
      <c r="C10419">
        <v>27887483</v>
      </c>
      <c r="D10419">
        <v>38665</v>
      </c>
    </row>
    <row r="10420" spans="1:4" x14ac:dyDescent="0.25">
      <c r="A10420" t="str">
        <f>T("   321490")</f>
        <v xml:space="preserve">   321490</v>
      </c>
      <c r="B10420" t="str">
        <f>T("   Enduits non réfractaires des types utilisés en maçonnerie")</f>
        <v xml:space="preserve">   Enduits non réfractaires des types utilisés en maçonnerie</v>
      </c>
      <c r="C10420">
        <v>3274756</v>
      </c>
      <c r="D10420">
        <v>27324</v>
      </c>
    </row>
    <row r="10421" spans="1:4" x14ac:dyDescent="0.25">
      <c r="A10421" t="str">
        <f>T("   350699")</f>
        <v xml:space="preserve">   350699</v>
      </c>
      <c r="B10421" t="str">
        <f>T("   Colles et autres adhésifs préparés, n.d.a.")</f>
        <v xml:space="preserve">   Colles et autres adhésifs préparés, n.d.a.</v>
      </c>
      <c r="C10421">
        <v>10196867</v>
      </c>
      <c r="D10421">
        <v>5966</v>
      </c>
    </row>
    <row r="10422" spans="1:4" x14ac:dyDescent="0.25">
      <c r="A10422" t="str">
        <f>T("   382440")</f>
        <v xml:space="preserve">   382440</v>
      </c>
      <c r="B10422" t="str">
        <f>T("   Additifs préparés pour ciments, mortiers ou bétons")</f>
        <v xml:space="preserve">   Additifs préparés pour ciments, mortiers ou bétons</v>
      </c>
      <c r="C10422">
        <v>21900746</v>
      </c>
      <c r="D10422">
        <v>30894</v>
      </c>
    </row>
    <row r="10423" spans="1:4" x14ac:dyDescent="0.25">
      <c r="A10423" t="str">
        <f>T("   382450")</f>
        <v xml:space="preserve">   382450</v>
      </c>
      <c r="B10423" t="str">
        <f>T("   MORTIERS ET BÉTONS, NON-RÉFRACTAIRES")</f>
        <v xml:space="preserve">   MORTIERS ET BÉTONS, NON-RÉFRACTAIRES</v>
      </c>
      <c r="C10423">
        <v>3193305</v>
      </c>
      <c r="D10423">
        <v>24473</v>
      </c>
    </row>
    <row r="10424" spans="1:4" x14ac:dyDescent="0.25">
      <c r="A10424" t="str">
        <f>T("   390390")</f>
        <v xml:space="preserve">   390390</v>
      </c>
      <c r="B10424"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0424">
        <v>16404891</v>
      </c>
      <c r="D10424">
        <v>19800</v>
      </c>
    </row>
    <row r="10425" spans="1:4" x14ac:dyDescent="0.25">
      <c r="A10425" t="str">
        <f>T("   390529")</f>
        <v xml:space="preserve">   390529</v>
      </c>
      <c r="B10425" t="str">
        <f>T("   Copolymères d'acétate de vinyle, sous formes primaires (à l'excl. des produits en dispersion aqueuse)")</f>
        <v xml:space="preserve">   Copolymères d'acétate de vinyle, sous formes primaires (à l'excl. des produits en dispersion aqueuse)</v>
      </c>
      <c r="C10425">
        <v>10648487</v>
      </c>
      <c r="D10425">
        <v>19800</v>
      </c>
    </row>
    <row r="10426" spans="1:4" x14ac:dyDescent="0.25">
      <c r="A10426" t="str">
        <f>T("   390750")</f>
        <v xml:space="preserve">   390750</v>
      </c>
      <c r="B10426" t="str">
        <f>T("   Résines alkydes, sous formes primaires")</f>
        <v xml:space="preserve">   Résines alkydes, sous formes primaires</v>
      </c>
      <c r="C10426">
        <v>82791824</v>
      </c>
      <c r="D10426">
        <v>98648</v>
      </c>
    </row>
    <row r="10427" spans="1:4" x14ac:dyDescent="0.25">
      <c r="A10427" t="str">
        <f>T("   390930")</f>
        <v xml:space="preserve">   390930</v>
      </c>
      <c r="B10427"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10427">
        <v>21950068</v>
      </c>
      <c r="D10427">
        <v>11800</v>
      </c>
    </row>
    <row r="10428" spans="1:4" x14ac:dyDescent="0.25">
      <c r="A10428" t="str">
        <f>T("   400211")</f>
        <v xml:space="preserve">   400211</v>
      </c>
      <c r="B10428" t="str">
        <f>T("   Latex de caoutchouc styrène-butadiène [SBR] ou de caoutchouc styrène-butadiène carboxylé [XSBR]")</f>
        <v xml:space="preserve">   Latex de caoutchouc styrène-butadiène [SBR] ou de caoutchouc styrène-butadiène carboxylé [XSBR]</v>
      </c>
      <c r="C10428">
        <v>14054808</v>
      </c>
      <c r="D10428">
        <v>13939</v>
      </c>
    </row>
    <row r="10429" spans="1:4" x14ac:dyDescent="0.25">
      <c r="A10429" t="str">
        <f>T("   481840")</f>
        <v xml:space="preserve">   481840</v>
      </c>
      <c r="B1042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429">
        <v>61171001</v>
      </c>
      <c r="D10429">
        <v>78793</v>
      </c>
    </row>
    <row r="10430" spans="1:4" x14ac:dyDescent="0.25">
      <c r="A10430" t="str">
        <f>T("   482010")</f>
        <v xml:space="preserve">   482010</v>
      </c>
      <c r="B1043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430">
        <v>2534393</v>
      </c>
      <c r="D10430">
        <v>5878</v>
      </c>
    </row>
    <row r="10431" spans="1:4" x14ac:dyDescent="0.25">
      <c r="A10431" t="str">
        <f>T("   482020")</f>
        <v xml:space="preserve">   482020</v>
      </c>
      <c r="B10431" t="str">
        <f>T("   Cahiers pour l'écriture, en papier ou carton")</f>
        <v xml:space="preserve">   Cahiers pour l'écriture, en papier ou carton</v>
      </c>
      <c r="C10431">
        <v>11743402</v>
      </c>
      <c r="D10431">
        <v>44090</v>
      </c>
    </row>
    <row r="10432" spans="1:4" x14ac:dyDescent="0.25">
      <c r="A10432" t="str">
        <f>T("   490199")</f>
        <v xml:space="preserve">   490199</v>
      </c>
      <c r="B1043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432">
        <v>5624705</v>
      </c>
      <c r="D10432">
        <v>1586</v>
      </c>
    </row>
    <row r="10433" spans="1:4" x14ac:dyDescent="0.25">
      <c r="A10433" t="str">
        <f>T("   490290")</f>
        <v xml:space="preserve">   490290</v>
      </c>
      <c r="B10433"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433">
        <v>1360067</v>
      </c>
      <c r="D10433">
        <v>200</v>
      </c>
    </row>
    <row r="10434" spans="1:4" x14ac:dyDescent="0.25">
      <c r="A10434" t="str">
        <f>T("   491110")</f>
        <v xml:space="preserve">   491110</v>
      </c>
      <c r="B10434" t="str">
        <f>T("   Imprimés publicitaires, catalogues commerciaux et simil.")</f>
        <v xml:space="preserve">   Imprimés publicitaires, catalogues commerciaux et simil.</v>
      </c>
      <c r="C10434">
        <v>39358</v>
      </c>
      <c r="D10434">
        <v>5</v>
      </c>
    </row>
    <row r="10435" spans="1:4" x14ac:dyDescent="0.25">
      <c r="A10435" t="str">
        <f>T("   560110")</f>
        <v xml:space="preserve">   560110</v>
      </c>
      <c r="B10435" t="str">
        <f>T("   Serviettes et tampons hygiéniques, couches pour bébés et articles hygiéniques simil., en ouates")</f>
        <v xml:space="preserve">   Serviettes et tampons hygiéniques, couches pour bébés et articles hygiéniques simil., en ouates</v>
      </c>
      <c r="C10435">
        <v>4806190</v>
      </c>
      <c r="D10435">
        <v>9221</v>
      </c>
    </row>
    <row r="10436" spans="1:4" x14ac:dyDescent="0.25">
      <c r="A10436" t="str">
        <f>T("   620590")</f>
        <v xml:space="preserve">   620590</v>
      </c>
      <c r="B1043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436">
        <v>1617057</v>
      </c>
      <c r="D10436">
        <v>2102</v>
      </c>
    </row>
    <row r="10437" spans="1:4" x14ac:dyDescent="0.25">
      <c r="A10437" t="str">
        <f>T("   640590")</f>
        <v xml:space="preserve">   640590</v>
      </c>
      <c r="B10437" t="s">
        <v>311</v>
      </c>
      <c r="C10437">
        <v>200000</v>
      </c>
      <c r="D10437">
        <v>48</v>
      </c>
    </row>
    <row r="10438" spans="1:4" x14ac:dyDescent="0.25">
      <c r="A10438" t="str">
        <f>T("   680919")</f>
        <v xml:space="preserve">   680919</v>
      </c>
      <c r="B10438" t="s">
        <v>325</v>
      </c>
      <c r="C10438">
        <v>5450000</v>
      </c>
      <c r="D10438">
        <v>135000</v>
      </c>
    </row>
    <row r="10439" spans="1:4" x14ac:dyDescent="0.25">
      <c r="A10439" t="str">
        <f>T("   691090")</f>
        <v xml:space="preserve">   691090</v>
      </c>
      <c r="B10439" t="s">
        <v>339</v>
      </c>
      <c r="C10439">
        <v>27758049</v>
      </c>
      <c r="D10439">
        <v>58159</v>
      </c>
    </row>
    <row r="10440" spans="1:4" x14ac:dyDescent="0.25">
      <c r="A10440" t="str">
        <f>T("   700490")</f>
        <v xml:space="preserve">   700490</v>
      </c>
      <c r="B10440"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10440">
        <v>12105000</v>
      </c>
      <c r="D10440">
        <v>48932</v>
      </c>
    </row>
    <row r="10441" spans="1:4" x14ac:dyDescent="0.25">
      <c r="A10441" t="str">
        <f>T("   701090")</f>
        <v xml:space="preserve">   701090</v>
      </c>
      <c r="B10441" t="s">
        <v>348</v>
      </c>
      <c r="C10441">
        <v>54350</v>
      </c>
      <c r="D10441">
        <v>26</v>
      </c>
    </row>
    <row r="10442" spans="1:4" x14ac:dyDescent="0.25">
      <c r="A10442" t="str">
        <f>T("   701190")</f>
        <v xml:space="preserve">   701190</v>
      </c>
      <c r="B10442"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10442">
        <v>6483000</v>
      </c>
      <c r="D10442">
        <v>6967</v>
      </c>
    </row>
    <row r="10443" spans="1:4" x14ac:dyDescent="0.25">
      <c r="A10443" t="str">
        <f>T("   731021")</f>
        <v xml:space="preserve">   731021</v>
      </c>
      <c r="B10443"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0443">
        <v>8810199</v>
      </c>
      <c r="D10443">
        <v>16065</v>
      </c>
    </row>
    <row r="10444" spans="1:4" x14ac:dyDescent="0.25">
      <c r="A10444" t="str">
        <f>T("   731815")</f>
        <v xml:space="preserve">   731815</v>
      </c>
      <c r="B10444" t="s">
        <v>380</v>
      </c>
      <c r="C10444">
        <v>1773853</v>
      </c>
      <c r="D10444">
        <v>3070</v>
      </c>
    </row>
    <row r="10445" spans="1:4" x14ac:dyDescent="0.25">
      <c r="A10445" t="str">
        <f>T("   732394")</f>
        <v xml:space="preserve">   732394</v>
      </c>
      <c r="B10445" t="s">
        <v>389</v>
      </c>
      <c r="C10445">
        <v>600000</v>
      </c>
      <c r="D10445">
        <v>1000</v>
      </c>
    </row>
    <row r="10446" spans="1:4" x14ac:dyDescent="0.25">
      <c r="A10446" t="str">
        <f>T("   732399")</f>
        <v xml:space="preserve">   732399</v>
      </c>
      <c r="B10446" t="s">
        <v>390</v>
      </c>
      <c r="C10446">
        <v>2954233</v>
      </c>
      <c r="D10446">
        <v>2569</v>
      </c>
    </row>
    <row r="10447" spans="1:4" x14ac:dyDescent="0.25">
      <c r="A10447" t="str">
        <f>T("   732690")</f>
        <v xml:space="preserve">   732690</v>
      </c>
      <c r="B1044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447">
        <v>7337668</v>
      </c>
      <c r="D10447">
        <v>4557</v>
      </c>
    </row>
    <row r="10448" spans="1:4" x14ac:dyDescent="0.25">
      <c r="A10448" t="str">
        <f>T("   760429")</f>
        <v xml:space="preserve">   760429</v>
      </c>
      <c r="B10448" t="str">
        <f>T("   Barres et profilés pleins en alliages d'aluminium, n.d.a.")</f>
        <v xml:space="preserve">   Barres et profilés pleins en alliages d'aluminium, n.d.a.</v>
      </c>
      <c r="C10448">
        <v>39852399</v>
      </c>
      <c r="D10448">
        <v>58676</v>
      </c>
    </row>
    <row r="10449" spans="1:4" x14ac:dyDescent="0.25">
      <c r="A10449" t="str">
        <f>T("   820130")</f>
        <v xml:space="preserve">   820130</v>
      </c>
      <c r="B10449" t="str">
        <f>T("   Pioches, pics, houes, binettes, râteaux et racloirs, avec partie travaillante en métaux communs (sauf piolets)")</f>
        <v xml:space="preserve">   Pioches, pics, houes, binettes, râteaux et racloirs, avec partie travaillante en métaux communs (sauf piolets)</v>
      </c>
      <c r="C10449">
        <v>314657</v>
      </c>
      <c r="D10449">
        <v>867</v>
      </c>
    </row>
    <row r="10450" spans="1:4" x14ac:dyDescent="0.25">
      <c r="A10450" t="str">
        <f>T("   820559")</f>
        <v xml:space="preserve">   820559</v>
      </c>
      <c r="B10450" t="str">
        <f>T("   Outils à main, y.c. -les diamants de vitrier-, en métaux communs, n.d.a.")</f>
        <v xml:space="preserve">   Outils à main, y.c. -les diamants de vitrier-, en métaux communs, n.d.a.</v>
      </c>
      <c r="C10450">
        <v>3094820</v>
      </c>
      <c r="D10450">
        <v>990</v>
      </c>
    </row>
    <row r="10451" spans="1:4" x14ac:dyDescent="0.25">
      <c r="A10451" t="str">
        <f>T("   830210")</f>
        <v xml:space="preserve">   830210</v>
      </c>
      <c r="B10451" t="str">
        <f>T("   Charnières de tous genres, y.c. les paumelles et pentures, en métaux communs")</f>
        <v xml:space="preserve">   Charnières de tous genres, y.c. les paumelles et pentures, en métaux communs</v>
      </c>
      <c r="C10451">
        <v>6631808</v>
      </c>
      <c r="D10451">
        <v>15978</v>
      </c>
    </row>
    <row r="10452" spans="1:4" x14ac:dyDescent="0.25">
      <c r="A10452" t="str">
        <f>T("   841440")</f>
        <v xml:space="preserve">   841440</v>
      </c>
      <c r="B10452" t="str">
        <f>T("   Compresseurs d'air montés sur châssis à roues et remorquables")</f>
        <v xml:space="preserve">   Compresseurs d'air montés sur châssis à roues et remorquables</v>
      </c>
      <c r="C10452">
        <v>44373070</v>
      </c>
      <c r="D10452">
        <v>60000</v>
      </c>
    </row>
    <row r="10453" spans="1:4" x14ac:dyDescent="0.25">
      <c r="A10453" t="str">
        <f>T("   842129")</f>
        <v xml:space="preserve">   842129</v>
      </c>
      <c r="B10453"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10453">
        <v>8229674</v>
      </c>
      <c r="D10453">
        <v>2640</v>
      </c>
    </row>
    <row r="10454" spans="1:4" x14ac:dyDescent="0.25">
      <c r="A10454" t="str">
        <f>T("   842330")</f>
        <v xml:space="preserve">   842330</v>
      </c>
      <c r="B10454"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10454">
        <v>6015297</v>
      </c>
      <c r="D10454">
        <v>3500</v>
      </c>
    </row>
    <row r="10455" spans="1:4" x14ac:dyDescent="0.25">
      <c r="A10455" t="str">
        <f>T("   842959")</f>
        <v xml:space="preserve">   842959</v>
      </c>
      <c r="B1045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455">
        <v>1155421064</v>
      </c>
      <c r="D10455">
        <v>498096</v>
      </c>
    </row>
    <row r="10456" spans="1:4" x14ac:dyDescent="0.25">
      <c r="A10456" t="str">
        <f>T("   843149")</f>
        <v xml:space="preserve">   843149</v>
      </c>
      <c r="B10456" t="str">
        <f>T("   Parties de machines et appareils du n° 8426, 8429 ou 8430, n.d.a.")</f>
        <v xml:space="preserve">   Parties de machines et appareils du n° 8426, 8429 ou 8430, n.d.a.</v>
      </c>
      <c r="C10456">
        <v>15868985</v>
      </c>
      <c r="D10456">
        <v>5100</v>
      </c>
    </row>
    <row r="10457" spans="1:4" x14ac:dyDescent="0.25">
      <c r="A10457" t="str">
        <f>T("   847190")</f>
        <v xml:space="preserve">   847190</v>
      </c>
      <c r="B1045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457">
        <v>3713390</v>
      </c>
      <c r="D10457">
        <v>890</v>
      </c>
    </row>
    <row r="10458" spans="1:4" x14ac:dyDescent="0.25">
      <c r="A10458" t="str">
        <f>T("   848180")</f>
        <v xml:space="preserve">   848180</v>
      </c>
      <c r="B1045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458">
        <v>7385677</v>
      </c>
      <c r="D10458">
        <v>997</v>
      </c>
    </row>
    <row r="10459" spans="1:4" x14ac:dyDescent="0.25">
      <c r="A10459" t="str">
        <f>T("   850212")</f>
        <v xml:space="preserve">   850212</v>
      </c>
      <c r="B1045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0459">
        <v>51966464</v>
      </c>
      <c r="D10459">
        <v>90000</v>
      </c>
    </row>
    <row r="10460" spans="1:4" x14ac:dyDescent="0.25">
      <c r="A10460" t="str">
        <f>T("   850780")</f>
        <v xml:space="preserve">   850780</v>
      </c>
      <c r="B10460" t="str">
        <f>T("   Accumulateurs électriques (sauf hors d'usage et autres qu'au plomb, au nickel-cadmium ou au nickel-fer)")</f>
        <v xml:space="preserve">   Accumulateurs électriques (sauf hors d'usage et autres qu'au plomb, au nickel-cadmium ou au nickel-fer)</v>
      </c>
      <c r="C10460">
        <v>1390000</v>
      </c>
      <c r="D10460">
        <v>23300</v>
      </c>
    </row>
    <row r="10461" spans="1:4" x14ac:dyDescent="0.25">
      <c r="A10461" t="str">
        <f>T("   852990")</f>
        <v xml:space="preserve">   852990</v>
      </c>
      <c r="B10461" t="s">
        <v>496</v>
      </c>
      <c r="C10461">
        <v>360778</v>
      </c>
      <c r="D10461">
        <v>20</v>
      </c>
    </row>
    <row r="10462" spans="1:4" x14ac:dyDescent="0.25">
      <c r="A10462" t="str">
        <f>T("   853669")</f>
        <v xml:space="preserve">   853669</v>
      </c>
      <c r="B10462" t="str">
        <f>T("   Fiches et prises de courant, pour une tension &lt;= 1.000 V (sauf douilles pour lampes)")</f>
        <v xml:space="preserve">   Fiches et prises de courant, pour une tension &lt;= 1.000 V (sauf douilles pour lampes)</v>
      </c>
      <c r="C10462">
        <v>58028386</v>
      </c>
      <c r="D10462">
        <v>19017</v>
      </c>
    </row>
    <row r="10463" spans="1:4" x14ac:dyDescent="0.25">
      <c r="A10463" t="str">
        <f>T("   853931")</f>
        <v xml:space="preserve">   853931</v>
      </c>
      <c r="B10463" t="str">
        <f>T("   Lampes et tubes à décharge, fluorescents, à cathode chaude")</f>
        <v xml:space="preserve">   Lampes et tubes à décharge, fluorescents, à cathode chaude</v>
      </c>
      <c r="C10463">
        <v>4369197</v>
      </c>
      <c r="D10463">
        <v>3057</v>
      </c>
    </row>
    <row r="10464" spans="1:4" x14ac:dyDescent="0.25">
      <c r="A10464" t="str">
        <f>T("   854420")</f>
        <v xml:space="preserve">   854420</v>
      </c>
      <c r="B10464" t="str">
        <f>T("   Câbles coaxiaux et autres conducteurs électriques coaxiaux, isolés")</f>
        <v xml:space="preserve">   Câbles coaxiaux et autres conducteurs électriques coaxiaux, isolés</v>
      </c>
      <c r="C10464">
        <v>6553796</v>
      </c>
      <c r="D10464">
        <v>28000</v>
      </c>
    </row>
    <row r="10465" spans="1:4" x14ac:dyDescent="0.25">
      <c r="A10465" t="str">
        <f>T("   854449")</f>
        <v xml:space="preserve">   854449</v>
      </c>
      <c r="B10465" t="str">
        <f>T("   CONDUCTEURS ÉLECTRIQUES, POUR TENSION &lt;= 1.000 V, ISOLÉS, SANS PIÈCES DE CONNEXION, N.D.A.")</f>
        <v xml:space="preserve">   CONDUCTEURS ÉLECTRIQUES, POUR TENSION &lt;= 1.000 V, ISOLÉS, SANS PIÈCES DE CONNEXION, N.D.A.</v>
      </c>
      <c r="C10465">
        <v>13107591</v>
      </c>
      <c r="D10465">
        <v>44770</v>
      </c>
    </row>
    <row r="10466" spans="1:4" x14ac:dyDescent="0.25">
      <c r="A10466" t="str">
        <f>T("   870190")</f>
        <v xml:space="preserve">   870190</v>
      </c>
      <c r="B1046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0466">
        <v>61770442</v>
      </c>
      <c r="D10466">
        <v>8580</v>
      </c>
    </row>
    <row r="10467" spans="1:4" x14ac:dyDescent="0.25">
      <c r="A10467" t="str">
        <f>T("   870324")</f>
        <v xml:space="preserve">   870324</v>
      </c>
      <c r="B10467" t="s">
        <v>508</v>
      </c>
      <c r="C10467">
        <v>18539282</v>
      </c>
      <c r="D10467">
        <v>4000</v>
      </c>
    </row>
    <row r="10468" spans="1:4" x14ac:dyDescent="0.25">
      <c r="A10468" t="str">
        <f>T("   870540")</f>
        <v xml:space="preserve">   870540</v>
      </c>
      <c r="B10468" t="str">
        <f>T("   Camions-bétonnières")</f>
        <v xml:space="preserve">   Camions-bétonnières</v>
      </c>
      <c r="C10468">
        <v>523490190</v>
      </c>
      <c r="D10468">
        <v>250140</v>
      </c>
    </row>
    <row r="10469" spans="1:4" x14ac:dyDescent="0.25">
      <c r="A10469" t="str">
        <f>T("   870899")</f>
        <v xml:space="preserve">   870899</v>
      </c>
      <c r="B1046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469">
        <v>3935105</v>
      </c>
      <c r="D10469">
        <v>1270</v>
      </c>
    </row>
    <row r="10470" spans="1:4" x14ac:dyDescent="0.25">
      <c r="A10470" t="str">
        <f>T("   871640")</f>
        <v xml:space="preserve">   871640</v>
      </c>
      <c r="B1047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470">
        <v>42369768</v>
      </c>
      <c r="D10470">
        <v>57550</v>
      </c>
    </row>
    <row r="10471" spans="1:4" x14ac:dyDescent="0.25">
      <c r="A10471" t="str">
        <f>T("   901580")</f>
        <v xml:space="preserve">   901580</v>
      </c>
      <c r="B10471" t="s">
        <v>526</v>
      </c>
      <c r="C10471">
        <v>22452854</v>
      </c>
      <c r="D10471">
        <v>3197</v>
      </c>
    </row>
    <row r="10472" spans="1:4" x14ac:dyDescent="0.25">
      <c r="A10472" t="str">
        <f>T("   901890")</f>
        <v xml:space="preserve">   901890</v>
      </c>
      <c r="B10472" t="str">
        <f>T("   Instruments et appareils pour la médecine, la chirurgie ou l'art vétérinaire, n.d.a.")</f>
        <v xml:space="preserve">   Instruments et appareils pour la médecine, la chirurgie ou l'art vétérinaire, n.d.a.</v>
      </c>
      <c r="C10472">
        <v>524768</v>
      </c>
      <c r="D10472">
        <v>82</v>
      </c>
    </row>
    <row r="10473" spans="1:4" x14ac:dyDescent="0.25">
      <c r="A10473" t="str">
        <f>T("   902190")</f>
        <v xml:space="preserve">   902190</v>
      </c>
      <c r="B10473" t="s">
        <v>528</v>
      </c>
      <c r="C10473">
        <v>1111154</v>
      </c>
      <c r="D10473">
        <v>135</v>
      </c>
    </row>
    <row r="10474" spans="1:4" x14ac:dyDescent="0.25">
      <c r="A10474" t="str">
        <f>T("   902830")</f>
        <v xml:space="preserve">   902830</v>
      </c>
      <c r="B10474" t="str">
        <f>T("   Compteurs d'électricité, y.c. les compteurs pour leur étalonnage")</f>
        <v xml:space="preserve">   Compteurs d'électricité, y.c. les compteurs pour leur étalonnage</v>
      </c>
      <c r="C10474">
        <v>56941379</v>
      </c>
      <c r="D10474">
        <v>18317</v>
      </c>
    </row>
    <row r="10475" spans="1:4" x14ac:dyDescent="0.25">
      <c r="A10475" t="str">
        <f>T("   940310")</f>
        <v xml:space="preserve">   940310</v>
      </c>
      <c r="B10475" t="str">
        <f>T("   Meubles de bureau en métal (sauf sièges)")</f>
        <v xml:space="preserve">   Meubles de bureau en métal (sauf sièges)</v>
      </c>
      <c r="C10475">
        <v>15307482</v>
      </c>
      <c r="D10475">
        <v>16816</v>
      </c>
    </row>
    <row r="10476" spans="1:4" x14ac:dyDescent="0.25">
      <c r="A10476" t="str">
        <f>T("   940350")</f>
        <v xml:space="preserve">   940350</v>
      </c>
      <c r="B10476" t="str">
        <f>T("   Meubles pour chambres à coucher, en bois (sauf sièges)")</f>
        <v xml:space="preserve">   Meubles pour chambres à coucher, en bois (sauf sièges)</v>
      </c>
      <c r="C10476">
        <v>2000000</v>
      </c>
      <c r="D10476">
        <v>4000</v>
      </c>
    </row>
    <row r="10477" spans="1:4" x14ac:dyDescent="0.25">
      <c r="A10477" t="str">
        <f>T("   940370")</f>
        <v xml:space="preserve">   940370</v>
      </c>
      <c r="B10477"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477">
        <v>2300786</v>
      </c>
      <c r="D10477">
        <v>3450</v>
      </c>
    </row>
    <row r="10478" spans="1:4" x14ac:dyDescent="0.25">
      <c r="A10478" t="str">
        <f>T("   960340")</f>
        <v xml:space="preserve">   960340</v>
      </c>
      <c r="B10478"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10478">
        <v>755423</v>
      </c>
      <c r="D10478">
        <v>77</v>
      </c>
    </row>
    <row r="10479" spans="1:4" x14ac:dyDescent="0.25">
      <c r="A10479" t="str">
        <f>T("   960400")</f>
        <v xml:space="preserve">   960400</v>
      </c>
      <c r="B10479" t="str">
        <f>T("   Tamis et cribles, à main (sauf simples égouttoirs et passoires)")</f>
        <v xml:space="preserve">   Tamis et cribles, à main (sauf simples égouttoirs et passoires)</v>
      </c>
      <c r="C10479">
        <v>227417</v>
      </c>
      <c r="D10479">
        <v>45</v>
      </c>
    </row>
    <row r="10480" spans="1:4" x14ac:dyDescent="0.25">
      <c r="A10480" t="str">
        <f>T("   960839")</f>
        <v xml:space="preserve">   960839</v>
      </c>
      <c r="B10480" t="str">
        <f>T("   Stylos à plume et autres stylos (autres qu'à dessiner à l'encre de Chine)")</f>
        <v xml:space="preserve">   Stylos à plume et autres stylos (autres qu'à dessiner à l'encre de Chine)</v>
      </c>
      <c r="C10480">
        <v>223026</v>
      </c>
      <c r="D10480">
        <v>108</v>
      </c>
    </row>
    <row r="10481" spans="1:4" x14ac:dyDescent="0.25">
      <c r="A10481" t="str">
        <f>T("TO")</f>
        <v>TO</v>
      </c>
      <c r="B10481" t="str">
        <f>T("Tonga")</f>
        <v>Tonga</v>
      </c>
    </row>
    <row r="10482" spans="1:4" x14ac:dyDescent="0.25">
      <c r="A10482" t="str">
        <f>T("   ZZ_Total_Produit_SH6")</f>
        <v xml:space="preserve">   ZZ_Total_Produit_SH6</v>
      </c>
      <c r="B10482" t="str">
        <f>T("   ZZ_Total_Produit_SH6")</f>
        <v xml:space="preserve">   ZZ_Total_Produit_SH6</v>
      </c>
      <c r="C10482">
        <v>21000000</v>
      </c>
      <c r="D10482">
        <v>28100</v>
      </c>
    </row>
    <row r="10483" spans="1:4" x14ac:dyDescent="0.25">
      <c r="A10483" t="str">
        <f>T("   401120")</f>
        <v xml:space="preserve">   401120</v>
      </c>
      <c r="B10483"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483">
        <v>21000000</v>
      </c>
      <c r="D10483">
        <v>28100</v>
      </c>
    </row>
    <row r="10484" spans="1:4" x14ac:dyDescent="0.25">
      <c r="A10484" t="str">
        <f>T("TR")</f>
        <v>TR</v>
      </c>
      <c r="B10484" t="str">
        <f>T("Turquie")</f>
        <v>Turquie</v>
      </c>
    </row>
    <row r="10485" spans="1:4" x14ac:dyDescent="0.25">
      <c r="A10485" t="str">
        <f>T("   ZZ_Total_Produit_SH6")</f>
        <v xml:space="preserve">   ZZ_Total_Produit_SH6</v>
      </c>
      <c r="B10485" t="str">
        <f>T("   ZZ_Total_Produit_SH6")</f>
        <v xml:space="preserve">   ZZ_Total_Produit_SH6</v>
      </c>
      <c r="C10485">
        <v>18644854573.532001</v>
      </c>
      <c r="D10485">
        <v>186505412.75999999</v>
      </c>
    </row>
    <row r="10486" spans="1:4" x14ac:dyDescent="0.25">
      <c r="A10486" t="str">
        <f>T("   020712")</f>
        <v xml:space="preserve">   020712</v>
      </c>
      <c r="B10486" t="str">
        <f>T("   COQS ET POULES [DES ESPÈCES DOMESTIQUES], NON-DÉCOUPÉS EN MORCEAUX, CONGELÉS")</f>
        <v xml:space="preserve">   COQS ET POULES [DES ESPÈCES DOMESTIQUES], NON-DÉCOUPÉS EN MORCEAUX, CONGELÉS</v>
      </c>
      <c r="C10486">
        <v>16668956</v>
      </c>
      <c r="D10486">
        <v>24739</v>
      </c>
    </row>
    <row r="10487" spans="1:4" x14ac:dyDescent="0.25">
      <c r="A10487" t="str">
        <f>T("   020714")</f>
        <v xml:space="preserve">   020714</v>
      </c>
      <c r="B10487" t="str">
        <f>T("   Morceaux et abats comestibles de coqs et de poules [des espèces domestiques], congelés")</f>
        <v xml:space="preserve">   Morceaux et abats comestibles de coqs et de poules [des espèces domestiques], congelés</v>
      </c>
      <c r="C10487">
        <v>31100376</v>
      </c>
      <c r="D10487">
        <v>53350</v>
      </c>
    </row>
    <row r="10488" spans="1:4" x14ac:dyDescent="0.25">
      <c r="A10488" t="str">
        <f>T("   020727")</f>
        <v xml:space="preserve">   020727</v>
      </c>
      <c r="B10488" t="str">
        <f>T("   Morceaux et abats comestibles de dindes et dindons [des espèces domestiques], congelés")</f>
        <v xml:space="preserve">   Morceaux et abats comestibles de dindes et dindons [des espèces domestiques], congelés</v>
      </c>
      <c r="C10488">
        <v>202150486</v>
      </c>
      <c r="D10488">
        <v>326886</v>
      </c>
    </row>
    <row r="10489" spans="1:4" x14ac:dyDescent="0.25">
      <c r="A10489" t="str">
        <f>T("   040210")</f>
        <v xml:space="preserve">   040210</v>
      </c>
      <c r="B10489"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0489">
        <v>17504293</v>
      </c>
      <c r="D10489">
        <v>26800</v>
      </c>
    </row>
    <row r="10490" spans="1:4" x14ac:dyDescent="0.25">
      <c r="A10490" t="str">
        <f>T("   080810")</f>
        <v xml:space="preserve">   080810</v>
      </c>
      <c r="B10490" t="str">
        <f>T("   Pommes, fraîches")</f>
        <v xml:space="preserve">   Pommes, fraîches</v>
      </c>
      <c r="C10490">
        <v>7000000</v>
      </c>
      <c r="D10490">
        <v>22938</v>
      </c>
    </row>
    <row r="10491" spans="1:4" x14ac:dyDescent="0.25">
      <c r="A10491" t="str">
        <f>T("   100110")</f>
        <v xml:space="preserve">   100110</v>
      </c>
      <c r="B10491" t="str">
        <f>T("   Froment [blé] dur")</f>
        <v xml:space="preserve">   Froment [blé] dur</v>
      </c>
      <c r="C10491">
        <v>6961800</v>
      </c>
      <c r="D10491">
        <v>46412</v>
      </c>
    </row>
    <row r="10492" spans="1:4" x14ac:dyDescent="0.25">
      <c r="A10492" t="str">
        <f>T("   100190")</f>
        <v xml:space="preserve">   100190</v>
      </c>
      <c r="B10492" t="str">
        <f>T("   Froment [blé] et méteil (à l'excl. du froment [blé] dur)")</f>
        <v xml:space="preserve">   Froment [blé] et méteil (à l'excl. du froment [blé] dur)</v>
      </c>
      <c r="C10492">
        <v>199461900</v>
      </c>
      <c r="D10492">
        <v>1326358</v>
      </c>
    </row>
    <row r="10493" spans="1:4" x14ac:dyDescent="0.25">
      <c r="A10493" t="str">
        <f>T("   100630")</f>
        <v xml:space="preserve">   100630</v>
      </c>
      <c r="B10493" t="str">
        <f>T("   Riz semi-blanchi ou blanchi, même poli ou glacé")</f>
        <v xml:space="preserve">   Riz semi-blanchi ou blanchi, même poli ou glacé</v>
      </c>
      <c r="C10493">
        <v>349393500</v>
      </c>
      <c r="D10493">
        <v>2325870</v>
      </c>
    </row>
    <row r="10494" spans="1:4" x14ac:dyDescent="0.25">
      <c r="A10494" t="str">
        <f>T("   110100")</f>
        <v xml:space="preserve">   110100</v>
      </c>
      <c r="B10494" t="str">
        <f>T("   Farines de froment [blé] ou de méteil")</f>
        <v xml:space="preserve">   Farines de froment [blé] ou de méteil</v>
      </c>
      <c r="C10494">
        <v>6137923993.2860003</v>
      </c>
      <c r="D10494">
        <v>22797126</v>
      </c>
    </row>
    <row r="10495" spans="1:4" x14ac:dyDescent="0.25">
      <c r="A10495" t="str">
        <f>T("   110311")</f>
        <v xml:space="preserve">   110311</v>
      </c>
      <c r="B10495" t="str">
        <f>T("   Gruaux et semoules de froment [blé]")</f>
        <v xml:space="preserve">   Gruaux et semoules de froment [blé]</v>
      </c>
      <c r="C10495">
        <v>292736532</v>
      </c>
      <c r="D10495">
        <v>1943706</v>
      </c>
    </row>
    <row r="10496" spans="1:4" x14ac:dyDescent="0.25">
      <c r="A10496" t="str">
        <f>T("   151190")</f>
        <v xml:space="preserve">   151190</v>
      </c>
      <c r="B10496" t="str">
        <f>T("   Huile de palme et ses fractions, même raffinées, mais non chimiquement modifiées (à l'excl. de l'huile de palme brute)")</f>
        <v xml:space="preserve">   Huile de palme et ses fractions, même raffinées, mais non chimiquement modifiées (à l'excl. de l'huile de palme brute)</v>
      </c>
      <c r="C10496">
        <v>32780110.245999999</v>
      </c>
      <c r="D10496">
        <v>88000</v>
      </c>
    </row>
    <row r="10497" spans="1:4" x14ac:dyDescent="0.25">
      <c r="A10497" t="str">
        <f>T("   151620")</f>
        <v xml:space="preserve">   151620</v>
      </c>
      <c r="B10497"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0497">
        <v>22000000</v>
      </c>
      <c r="D10497">
        <v>79750</v>
      </c>
    </row>
    <row r="10498" spans="1:4" x14ac:dyDescent="0.25">
      <c r="A10498" t="str">
        <f>T("   160100")</f>
        <v xml:space="preserve">   160100</v>
      </c>
      <c r="B10498" t="str">
        <f>T("   Saucisses, saucissons et produits simil., de viande, d'abats ou de sang; préparations alimentaires à base de ces produits")</f>
        <v xml:space="preserve">   Saucisses, saucissons et produits simil., de viande, d'abats ou de sang; préparations alimentaires à base de ces produits</v>
      </c>
      <c r="C10498">
        <v>19345409</v>
      </c>
      <c r="D10498">
        <v>25793.759999999998</v>
      </c>
    </row>
    <row r="10499" spans="1:4" x14ac:dyDescent="0.25">
      <c r="A10499" t="str">
        <f>T("   170490")</f>
        <v xml:space="preserve">   170490</v>
      </c>
      <c r="B10499" t="str">
        <f>T("   Sucreries sans cacao, y.c. le chocolat blanc (à l'excl. des gommes à mâcher)")</f>
        <v xml:space="preserve">   Sucreries sans cacao, y.c. le chocolat blanc (à l'excl. des gommes à mâcher)</v>
      </c>
      <c r="C10499">
        <v>54367684</v>
      </c>
      <c r="D10499">
        <v>205188</v>
      </c>
    </row>
    <row r="10500" spans="1:4" x14ac:dyDescent="0.25">
      <c r="A10500" t="str">
        <f>T("   180690")</f>
        <v xml:space="preserve">   180690</v>
      </c>
      <c r="B10500"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500">
        <v>31142346</v>
      </c>
      <c r="D10500">
        <v>63199</v>
      </c>
    </row>
    <row r="10501" spans="1:4" x14ac:dyDescent="0.25">
      <c r="A10501" t="str">
        <f>T("   190219")</f>
        <v xml:space="preserve">   190219</v>
      </c>
      <c r="B10501" t="str">
        <f>T("   PÂTES ALIMENTAIRES NON-CUITES NI FARCIES NI AUTREMENT PRÉPARÉES, NE CONTENANT PAS D'OEUFS")</f>
        <v xml:space="preserve">   PÂTES ALIMENTAIRES NON-CUITES NI FARCIES NI AUTREMENT PRÉPARÉES, NE CONTENANT PAS D'OEUFS</v>
      </c>
      <c r="C10501">
        <v>508338940</v>
      </c>
      <c r="D10501">
        <v>3014911</v>
      </c>
    </row>
    <row r="10502" spans="1:4" x14ac:dyDescent="0.25">
      <c r="A10502" t="str">
        <f>T("   190220")</f>
        <v xml:space="preserve">   190220</v>
      </c>
      <c r="B10502" t="str">
        <f>T("   Pâtes alimentaires, farcies de viande ou d'autres substances, même cuites ou autrement préparées")</f>
        <v xml:space="preserve">   Pâtes alimentaires, farcies de viande ou d'autres substances, même cuites ou autrement préparées</v>
      </c>
      <c r="C10502">
        <v>131364143</v>
      </c>
      <c r="D10502">
        <v>1213280</v>
      </c>
    </row>
    <row r="10503" spans="1:4" x14ac:dyDescent="0.25">
      <c r="A10503" t="str">
        <f>T("   190230")</f>
        <v xml:space="preserve">   190230</v>
      </c>
      <c r="B10503" t="str">
        <f>T("   Pâtes alimentaires, cuites ou autrement préparées (à l'excl. des pâtes alimentaires farcies)")</f>
        <v xml:space="preserve">   Pâtes alimentaires, cuites ou autrement préparées (à l'excl. des pâtes alimentaires farcies)</v>
      </c>
      <c r="C10503">
        <v>1849128894</v>
      </c>
      <c r="D10503">
        <v>13415596</v>
      </c>
    </row>
    <row r="10504" spans="1:4" x14ac:dyDescent="0.25">
      <c r="A10504" t="str">
        <f>T("   190240")</f>
        <v xml:space="preserve">   190240</v>
      </c>
      <c r="B10504" t="str">
        <f>T("   Couscous, même préparé")</f>
        <v xml:space="preserve">   Couscous, même préparé</v>
      </c>
      <c r="C10504">
        <v>70006913</v>
      </c>
      <c r="D10504">
        <v>367282</v>
      </c>
    </row>
    <row r="10505" spans="1:4" x14ac:dyDescent="0.25">
      <c r="A10505" t="str">
        <f>T("   190430")</f>
        <v xml:space="preserve">   190430</v>
      </c>
      <c r="B10505" t="str">
        <f>T("   Bulgur de blé sous forme de grains travaillés, obtenu par cuisson des grains de blé dur")</f>
        <v xml:space="preserve">   Bulgur de blé sous forme de grains travaillés, obtenu par cuisson des grains de blé dur</v>
      </c>
      <c r="C10505">
        <v>2103715</v>
      </c>
      <c r="D10505">
        <v>42000</v>
      </c>
    </row>
    <row r="10506" spans="1:4" x14ac:dyDescent="0.25">
      <c r="A10506" t="str">
        <f>T("   190531")</f>
        <v xml:space="preserve">   190531</v>
      </c>
      <c r="B10506" t="str">
        <f>T("   Biscuits additionnés d'édulcorants")</f>
        <v xml:space="preserve">   Biscuits additionnés d'édulcorants</v>
      </c>
      <c r="C10506">
        <v>24309571</v>
      </c>
      <c r="D10506">
        <v>88747</v>
      </c>
    </row>
    <row r="10507" spans="1:4" x14ac:dyDescent="0.25">
      <c r="A10507" t="str">
        <f>T("   190532")</f>
        <v xml:space="preserve">   190532</v>
      </c>
      <c r="B10507" t="str">
        <f>T("   GAUFRES ET GAUFRETTES")</f>
        <v xml:space="preserve">   GAUFRES ET GAUFRETTES</v>
      </c>
      <c r="C10507">
        <v>21684557</v>
      </c>
      <c r="D10507">
        <v>72453</v>
      </c>
    </row>
    <row r="10508" spans="1:4" x14ac:dyDescent="0.25">
      <c r="A10508" t="str">
        <f>T("   190590")</f>
        <v xml:space="preserve">   190590</v>
      </c>
      <c r="B10508" t="s">
        <v>52</v>
      </c>
      <c r="C10508">
        <v>136022344</v>
      </c>
      <c r="D10508">
        <v>401099</v>
      </c>
    </row>
    <row r="10509" spans="1:4" x14ac:dyDescent="0.25">
      <c r="A10509" t="str">
        <f>T("   200290")</f>
        <v xml:space="preserve">   200290</v>
      </c>
      <c r="B1050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509">
        <v>12967018</v>
      </c>
      <c r="D10509">
        <v>79555</v>
      </c>
    </row>
    <row r="10510" spans="1:4" x14ac:dyDescent="0.25">
      <c r="A10510" t="str">
        <f>T("   200980")</f>
        <v xml:space="preserve">   200980</v>
      </c>
      <c r="B1051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510">
        <v>23720479</v>
      </c>
      <c r="D10510">
        <v>132727</v>
      </c>
    </row>
    <row r="10511" spans="1:4" x14ac:dyDescent="0.25">
      <c r="A10511" t="str">
        <f>T("   210230")</f>
        <v xml:space="preserve">   210230</v>
      </c>
      <c r="B10511" t="str">
        <f>T("   Poudres à lever préparées")</f>
        <v xml:space="preserve">   Poudres à lever préparées</v>
      </c>
      <c r="C10511">
        <v>3148608</v>
      </c>
      <c r="D10511">
        <v>8000</v>
      </c>
    </row>
    <row r="10512" spans="1:4" x14ac:dyDescent="0.25">
      <c r="A10512" t="str">
        <f>T("   210410")</f>
        <v xml:space="preserve">   210410</v>
      </c>
      <c r="B10512" t="str">
        <f>T("   Préparations pour soupes, potages ou bouillons; soupes, potages ou bouillons préparés")</f>
        <v xml:space="preserve">   Préparations pour soupes, potages ou bouillons; soupes, potages ou bouillons préparés</v>
      </c>
      <c r="C10512">
        <v>146935</v>
      </c>
      <c r="D10512">
        <v>36</v>
      </c>
    </row>
    <row r="10513" spans="1:4" x14ac:dyDescent="0.25">
      <c r="A10513" t="str">
        <f>T("   210690")</f>
        <v xml:space="preserve">   210690</v>
      </c>
      <c r="B10513" t="str">
        <f>T("   Préparations alimentaires, n.d.a.")</f>
        <v xml:space="preserve">   Préparations alimentaires, n.d.a.</v>
      </c>
      <c r="C10513">
        <v>7779686</v>
      </c>
      <c r="D10513">
        <v>79404</v>
      </c>
    </row>
    <row r="10514" spans="1:4" x14ac:dyDescent="0.25">
      <c r="A10514" t="str">
        <f>T("   220210")</f>
        <v xml:space="preserve">   220210</v>
      </c>
      <c r="B1051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514">
        <v>5665858</v>
      </c>
      <c r="D10514">
        <v>32490</v>
      </c>
    </row>
    <row r="10515" spans="1:4" x14ac:dyDescent="0.25">
      <c r="A10515" t="str">
        <f>T("   220290")</f>
        <v xml:space="preserve">   220290</v>
      </c>
      <c r="B10515" t="str">
        <f>T("   BOISSONS NON-ALCOOLIQUES (À L'EXCL. DES EAUX, DES JUS DE FRUITS OU DE LÉGUMES AINSI QUE DU LAIT)")</f>
        <v xml:space="preserve">   BOISSONS NON-ALCOOLIQUES (À L'EXCL. DES EAUX, DES JUS DE FRUITS OU DE LÉGUMES AINSI QUE DU LAIT)</v>
      </c>
      <c r="C10515">
        <v>54999410</v>
      </c>
      <c r="D10515">
        <v>288826</v>
      </c>
    </row>
    <row r="10516" spans="1:4" x14ac:dyDescent="0.25">
      <c r="A10516" t="str">
        <f>T("   220300")</f>
        <v xml:space="preserve">   220300</v>
      </c>
      <c r="B10516" t="str">
        <f>T("   Bières de malt")</f>
        <v xml:space="preserve">   Bières de malt</v>
      </c>
      <c r="C10516">
        <v>468132671</v>
      </c>
      <c r="D10516">
        <v>1899192</v>
      </c>
    </row>
    <row r="10517" spans="1:4" x14ac:dyDescent="0.25">
      <c r="A10517" t="str">
        <f>T("   250100")</f>
        <v xml:space="preserve">   250100</v>
      </c>
      <c r="B10517" t="s">
        <v>63</v>
      </c>
      <c r="C10517">
        <v>9525000</v>
      </c>
      <c r="D10517">
        <v>250001</v>
      </c>
    </row>
    <row r="10518" spans="1:4" x14ac:dyDescent="0.25">
      <c r="A10518" t="str">
        <f>T("   252020")</f>
        <v xml:space="preserve">   252020</v>
      </c>
      <c r="B10518" t="str">
        <f>T("   Plâtres, même colorés ou additionnés de faibles quantités d'accélérateurs ou de retardateurs")</f>
        <v xml:space="preserve">   Plâtres, même colorés ou additionnés de faibles quantités d'accélérateurs ou de retardateurs</v>
      </c>
      <c r="C10518">
        <v>74091904</v>
      </c>
      <c r="D10518">
        <v>1397689</v>
      </c>
    </row>
    <row r="10519" spans="1:4" x14ac:dyDescent="0.25">
      <c r="A10519" t="str">
        <f>T("   252310")</f>
        <v xml:space="preserve">   252310</v>
      </c>
      <c r="B10519" t="str">
        <f>T("   Ciments non pulvérisés dits 'clinkers'")</f>
        <v xml:space="preserve">   Ciments non pulvérisés dits 'clinkers'</v>
      </c>
      <c r="C10519">
        <v>4456725000</v>
      </c>
      <c r="D10519">
        <v>127335000</v>
      </c>
    </row>
    <row r="10520" spans="1:4" x14ac:dyDescent="0.25">
      <c r="A10520" t="str">
        <f>T("   271011")</f>
        <v xml:space="preserve">   271011</v>
      </c>
      <c r="B1052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0520">
        <v>8856089</v>
      </c>
      <c r="D10520">
        <v>11340</v>
      </c>
    </row>
    <row r="10521" spans="1:4" x14ac:dyDescent="0.25">
      <c r="A10521" t="str">
        <f>T("   271019")</f>
        <v xml:space="preserve">   271019</v>
      </c>
      <c r="B10521" t="str">
        <f>T("   Huiles moyennes et préparations, de pétrole ou de minéraux bitumineux, n.d.a.")</f>
        <v xml:space="preserve">   Huiles moyennes et préparations, de pétrole ou de minéraux bitumineux, n.d.a.</v>
      </c>
      <c r="C10521">
        <v>1687911679</v>
      </c>
      <c r="D10521">
        <v>4247362</v>
      </c>
    </row>
    <row r="10522" spans="1:4" x14ac:dyDescent="0.25">
      <c r="A10522" t="str">
        <f>T("   292320")</f>
        <v xml:space="preserve">   292320</v>
      </c>
      <c r="B10522" t="str">
        <f>T("   Lécithines et autres phosphoaminolipides, de constitution chimique définie ou non")</f>
        <v xml:space="preserve">   Lécithines et autres phosphoaminolipides, de constitution chimique définie ou non</v>
      </c>
      <c r="C10522">
        <v>951384</v>
      </c>
      <c r="D10522">
        <v>1624</v>
      </c>
    </row>
    <row r="10523" spans="1:4" x14ac:dyDescent="0.25">
      <c r="A10523" t="str">
        <f>T("   292800")</f>
        <v xml:space="preserve">   292800</v>
      </c>
      <c r="B10523" t="str">
        <f>T("   Dérivés organiques de l'hydrazine ou de l'hydroxylamine")</f>
        <v xml:space="preserve">   Dérivés organiques de l'hydrazine ou de l'hydroxylamine</v>
      </c>
      <c r="C10523">
        <v>4756956</v>
      </c>
      <c r="D10523">
        <v>2077</v>
      </c>
    </row>
    <row r="10524" spans="1:4" x14ac:dyDescent="0.25">
      <c r="A10524" t="str">
        <f>T("   321100")</f>
        <v xml:space="preserve">   321100</v>
      </c>
      <c r="B10524" t="str">
        <f>T("   Siccatifs préparés")</f>
        <v xml:space="preserve">   Siccatifs préparés</v>
      </c>
      <c r="C10524">
        <v>1902790</v>
      </c>
      <c r="D10524">
        <v>1500</v>
      </c>
    </row>
    <row r="10525" spans="1:4" x14ac:dyDescent="0.25">
      <c r="A10525" t="str">
        <f>T("   330300")</f>
        <v xml:space="preserve">   330300</v>
      </c>
      <c r="B1052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525">
        <v>1444098</v>
      </c>
      <c r="D10525">
        <v>1106</v>
      </c>
    </row>
    <row r="10526" spans="1:4" x14ac:dyDescent="0.25">
      <c r="A10526" t="str">
        <f>T("   330510")</f>
        <v xml:space="preserve">   330510</v>
      </c>
      <c r="B10526" t="str">
        <f>T("   Shampooings")</f>
        <v xml:space="preserve">   Shampooings</v>
      </c>
      <c r="C10526">
        <v>298738</v>
      </c>
      <c r="D10526">
        <v>1976</v>
      </c>
    </row>
    <row r="10527" spans="1:4" x14ac:dyDescent="0.25">
      <c r="A10527" t="str">
        <f>T("   330749")</f>
        <v xml:space="preserve">   330749</v>
      </c>
      <c r="B10527"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0527">
        <v>6519883</v>
      </c>
      <c r="D10527">
        <v>18769</v>
      </c>
    </row>
    <row r="10528" spans="1:4" x14ac:dyDescent="0.25">
      <c r="A10528" t="str">
        <f>T("   340111")</f>
        <v xml:space="preserve">   340111</v>
      </c>
      <c r="B10528" t="s">
        <v>107</v>
      </c>
      <c r="C10528">
        <v>122054683</v>
      </c>
      <c r="D10528">
        <v>213186</v>
      </c>
    </row>
    <row r="10529" spans="1:4" x14ac:dyDescent="0.25">
      <c r="A10529" t="str">
        <f>T("   340119")</f>
        <v xml:space="preserve">   340119</v>
      </c>
      <c r="B10529" t="s">
        <v>108</v>
      </c>
      <c r="C10529">
        <v>6054692</v>
      </c>
      <c r="D10529">
        <v>12164</v>
      </c>
    </row>
    <row r="10530" spans="1:4" x14ac:dyDescent="0.25">
      <c r="A10530" t="str">
        <f>T("   340120")</f>
        <v xml:space="preserve">   340120</v>
      </c>
      <c r="B10530" t="str">
        <f>T("   Savons en flocons, en paillettes, en granulés ou en poudres et savons liquides ou pâteux")</f>
        <v xml:space="preserve">   Savons en flocons, en paillettes, en granulés ou en poudres et savons liquides ou pâteux</v>
      </c>
      <c r="C10530">
        <v>5928002</v>
      </c>
      <c r="D10530">
        <v>22941</v>
      </c>
    </row>
    <row r="10531" spans="1:4" x14ac:dyDescent="0.25">
      <c r="A10531" t="str">
        <f>T("   340130")</f>
        <v xml:space="preserve">   340130</v>
      </c>
      <c r="B10531"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0531">
        <v>4588000</v>
      </c>
      <c r="D10531">
        <v>7185</v>
      </c>
    </row>
    <row r="10532" spans="1:4" x14ac:dyDescent="0.25">
      <c r="A10532" t="str">
        <f>T("   340211")</f>
        <v xml:space="preserve">   340211</v>
      </c>
      <c r="B10532" t="str">
        <f>T("   Agents de surface organiques, anioniques, même conditionnés pour la vente au détail (à l'excl. des savons)")</f>
        <v xml:space="preserve">   Agents de surface organiques, anioniques, même conditionnés pour la vente au détail (à l'excl. des savons)</v>
      </c>
      <c r="C10532">
        <v>1664932</v>
      </c>
      <c r="D10532">
        <v>1411</v>
      </c>
    </row>
    <row r="10533" spans="1:4" x14ac:dyDescent="0.25">
      <c r="A10533" t="str">
        <f>T("   340220")</f>
        <v xml:space="preserve">   340220</v>
      </c>
      <c r="B10533" t="s">
        <v>109</v>
      </c>
      <c r="C10533">
        <v>683505</v>
      </c>
      <c r="D10533">
        <v>4189</v>
      </c>
    </row>
    <row r="10534" spans="1:4" x14ac:dyDescent="0.25">
      <c r="A10534" t="str">
        <f>T("   350699")</f>
        <v xml:space="preserve">   350699</v>
      </c>
      <c r="B10534" t="str">
        <f>T("   Colles et autres adhésifs préparés, n.d.a.")</f>
        <v xml:space="preserve">   Colles et autres adhésifs préparés, n.d.a.</v>
      </c>
      <c r="C10534">
        <v>97406</v>
      </c>
      <c r="D10534">
        <v>302</v>
      </c>
    </row>
    <row r="10535" spans="1:4" x14ac:dyDescent="0.25">
      <c r="A10535" t="str">
        <f>T("   380891")</f>
        <v xml:space="preserve">   380891</v>
      </c>
      <c r="B10535" t="str">
        <f>T("   INSECTICIDES (À L'EXCL. DES MARCHANDISES DU N° 3808.50)")</f>
        <v xml:space="preserve">   INSECTICIDES (À L'EXCL. DES MARCHANDISES DU N° 3808.50)</v>
      </c>
      <c r="C10535">
        <v>475709</v>
      </c>
      <c r="D10535">
        <v>1425</v>
      </c>
    </row>
    <row r="10536" spans="1:4" x14ac:dyDescent="0.25">
      <c r="A10536" t="str">
        <f>T("   381010")</f>
        <v xml:space="preserve">   381010</v>
      </c>
      <c r="B10536"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10536">
        <v>426285</v>
      </c>
      <c r="D10536">
        <v>2000</v>
      </c>
    </row>
    <row r="10537" spans="1:4" x14ac:dyDescent="0.25">
      <c r="A10537" t="str">
        <f>T("   390390")</f>
        <v xml:space="preserve">   390390</v>
      </c>
      <c r="B10537"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0537">
        <v>8218580</v>
      </c>
      <c r="D10537">
        <v>21120</v>
      </c>
    </row>
    <row r="10538" spans="1:4" x14ac:dyDescent="0.25">
      <c r="A10538" t="str">
        <f>T("   390690")</f>
        <v xml:space="preserve">   390690</v>
      </c>
      <c r="B10538" t="str">
        <f>T("   Polymères acryliques, sous formes primaires (à l'excl. du poly[méthacrylate de méthyle])")</f>
        <v xml:space="preserve">   Polymères acryliques, sous formes primaires (à l'excl. du poly[méthacrylate de méthyle])</v>
      </c>
      <c r="C10538">
        <v>9989628</v>
      </c>
      <c r="D10538">
        <v>8967</v>
      </c>
    </row>
    <row r="10539" spans="1:4" x14ac:dyDescent="0.25">
      <c r="A10539" t="str">
        <f>T("   390750")</f>
        <v xml:space="preserve">   390750</v>
      </c>
      <c r="B10539" t="str">
        <f>T("   Résines alkydes, sous formes primaires")</f>
        <v xml:space="preserve">   Résines alkydes, sous formes primaires</v>
      </c>
      <c r="C10539">
        <v>2990388</v>
      </c>
      <c r="D10539">
        <v>20600</v>
      </c>
    </row>
    <row r="10540" spans="1:4" x14ac:dyDescent="0.25">
      <c r="A10540" t="str">
        <f>T("   391723")</f>
        <v xml:space="preserve">   391723</v>
      </c>
      <c r="B10540" t="str">
        <f>T("   TUBES ET TUYAUX RIGIDES, EN POLYMÈRES DU CHLORURE DE VINYLE")</f>
        <v xml:space="preserve">   TUBES ET TUYAUX RIGIDES, EN POLYMÈRES DU CHLORURE DE VINYLE</v>
      </c>
      <c r="C10540">
        <v>2949793</v>
      </c>
      <c r="D10540">
        <v>2114.31</v>
      </c>
    </row>
    <row r="10541" spans="1:4" x14ac:dyDescent="0.25">
      <c r="A10541" t="str">
        <f>T("   391810")</f>
        <v xml:space="preserve">   391810</v>
      </c>
      <c r="B10541" t="s">
        <v>137</v>
      </c>
      <c r="C10541">
        <v>3000000</v>
      </c>
      <c r="D10541">
        <v>14074</v>
      </c>
    </row>
    <row r="10542" spans="1:4" x14ac:dyDescent="0.25">
      <c r="A10542" t="str">
        <f>T("   392010")</f>
        <v xml:space="preserve">   392010</v>
      </c>
      <c r="B10542" t="s">
        <v>140</v>
      </c>
      <c r="C10542">
        <v>76146738</v>
      </c>
      <c r="D10542">
        <v>101586</v>
      </c>
    </row>
    <row r="10543" spans="1:4" x14ac:dyDescent="0.25">
      <c r="A10543" t="str">
        <f>T("   392329")</f>
        <v xml:space="preserve">   392329</v>
      </c>
      <c r="B10543" t="str">
        <f>T("   Sacs, sachets, pochettes et cornets, en matières plastiques (autres que les polymères de l'éthylène)")</f>
        <v xml:space="preserve">   Sacs, sachets, pochettes et cornets, en matières plastiques (autres que les polymères de l'éthylène)</v>
      </c>
      <c r="C10543">
        <v>515055</v>
      </c>
      <c r="D10543">
        <v>903</v>
      </c>
    </row>
    <row r="10544" spans="1:4" x14ac:dyDescent="0.25">
      <c r="A10544" t="str">
        <f>T("   392610")</f>
        <v xml:space="preserve">   392610</v>
      </c>
      <c r="B10544" t="str">
        <f>T("   Articles de bureau et articles scolaires, en matières plastiques, n.d.a.")</f>
        <v xml:space="preserve">   Articles de bureau et articles scolaires, en matières plastiques, n.d.a.</v>
      </c>
      <c r="C10544">
        <v>9832019</v>
      </c>
      <c r="D10544">
        <v>11615</v>
      </c>
    </row>
    <row r="10545" spans="1:4" x14ac:dyDescent="0.25">
      <c r="A10545" t="str">
        <f>T("   392690")</f>
        <v xml:space="preserve">   392690</v>
      </c>
      <c r="B10545" t="str">
        <f>T("   Ouvrages en matières plastiques et ouvrages en autres matières du n° 3901 à 3914, n.d.a.")</f>
        <v xml:space="preserve">   Ouvrages en matières plastiques et ouvrages en autres matières du n° 3901 à 3914, n.d.a.</v>
      </c>
      <c r="C10545">
        <v>2269049</v>
      </c>
      <c r="D10545">
        <v>8200</v>
      </c>
    </row>
    <row r="10546" spans="1:4" x14ac:dyDescent="0.25">
      <c r="A10546" t="str">
        <f>T("   400942")</f>
        <v xml:space="preserve">   400942</v>
      </c>
      <c r="B10546" t="s">
        <v>163</v>
      </c>
      <c r="C10546">
        <v>1397851</v>
      </c>
      <c r="D10546">
        <v>1325</v>
      </c>
    </row>
    <row r="10547" spans="1:4" x14ac:dyDescent="0.25">
      <c r="A10547" t="str">
        <f>T("   401110")</f>
        <v xml:space="preserve">   401110</v>
      </c>
      <c r="B1054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547">
        <v>14350436</v>
      </c>
      <c r="D10547">
        <v>3366</v>
      </c>
    </row>
    <row r="10548" spans="1:4" x14ac:dyDescent="0.25">
      <c r="A10548" t="str">
        <f>T("   401692")</f>
        <v xml:space="preserve">   401692</v>
      </c>
      <c r="B10548"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10548">
        <v>230609</v>
      </c>
      <c r="D10548">
        <v>200</v>
      </c>
    </row>
    <row r="10549" spans="1:4" x14ac:dyDescent="0.25">
      <c r="A10549" t="str">
        <f>T("   420299")</f>
        <v xml:space="preserve">   420299</v>
      </c>
      <c r="B10549" t="s">
        <v>174</v>
      </c>
      <c r="C10549">
        <v>263000</v>
      </c>
      <c r="D10549">
        <v>90</v>
      </c>
    </row>
    <row r="10550" spans="1:4" x14ac:dyDescent="0.25">
      <c r="A10550" t="str">
        <f>T("   441900")</f>
        <v xml:space="preserve">   441900</v>
      </c>
      <c r="B10550" t="s">
        <v>201</v>
      </c>
      <c r="C10550">
        <v>45261</v>
      </c>
      <c r="D10550">
        <v>15</v>
      </c>
    </row>
    <row r="10551" spans="1:4" x14ac:dyDescent="0.25">
      <c r="A10551" t="str">
        <f>T("   480300")</f>
        <v xml:space="preserve">   480300</v>
      </c>
      <c r="B10551" t="s">
        <v>211</v>
      </c>
      <c r="C10551">
        <v>612784</v>
      </c>
      <c r="D10551">
        <v>3500</v>
      </c>
    </row>
    <row r="10552" spans="1:4" x14ac:dyDescent="0.25">
      <c r="A10552" t="str">
        <f>T("   481039")</f>
        <v xml:space="preserve">   481039</v>
      </c>
      <c r="B10552" t="s">
        <v>224</v>
      </c>
      <c r="C10552">
        <v>444141</v>
      </c>
      <c r="D10552">
        <v>277</v>
      </c>
    </row>
    <row r="10553" spans="1:4" x14ac:dyDescent="0.25">
      <c r="A10553" t="str">
        <f>T("   481810")</f>
        <v xml:space="preserve">   481810</v>
      </c>
      <c r="B10553" t="str">
        <f>T("   Papier hygiénique, en rouleaux d'une largeur &lt;= 36 cm")</f>
        <v xml:space="preserve">   Papier hygiénique, en rouleaux d'une largeur &lt;= 36 cm</v>
      </c>
      <c r="C10553">
        <v>7660000</v>
      </c>
      <c r="D10553">
        <v>5484</v>
      </c>
    </row>
    <row r="10554" spans="1:4" x14ac:dyDescent="0.25">
      <c r="A10554" t="str">
        <f>T("   481820")</f>
        <v xml:space="preserve">   481820</v>
      </c>
      <c r="B1055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554">
        <v>8637153</v>
      </c>
      <c r="D10554">
        <v>9188</v>
      </c>
    </row>
    <row r="10555" spans="1:4" x14ac:dyDescent="0.25">
      <c r="A10555" t="str">
        <f>T("   481840")</f>
        <v xml:space="preserve">   481840</v>
      </c>
      <c r="B1055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555">
        <v>59001524</v>
      </c>
      <c r="D10555">
        <v>69220</v>
      </c>
    </row>
    <row r="10556" spans="1:4" x14ac:dyDescent="0.25">
      <c r="A10556" t="str">
        <f>T("   481890")</f>
        <v xml:space="preserve">   481890</v>
      </c>
      <c r="B10556" t="s">
        <v>232</v>
      </c>
      <c r="C10556">
        <v>2183691</v>
      </c>
      <c r="D10556">
        <v>7383</v>
      </c>
    </row>
    <row r="10557" spans="1:4" x14ac:dyDescent="0.25">
      <c r="A10557" t="str">
        <f>T("   481910")</f>
        <v xml:space="preserve">   481910</v>
      </c>
      <c r="B10557" t="str">
        <f>T("   Boîtes et caisses en papier ou en carton ondulé")</f>
        <v xml:space="preserve">   Boîtes et caisses en papier ou en carton ondulé</v>
      </c>
      <c r="C10557">
        <v>1639433</v>
      </c>
      <c r="D10557">
        <v>603</v>
      </c>
    </row>
    <row r="10558" spans="1:4" x14ac:dyDescent="0.25">
      <c r="A10558" t="str">
        <f>T("   481920")</f>
        <v xml:space="preserve">   481920</v>
      </c>
      <c r="B10558" t="str">
        <f>T("   Boîtes et cartonnages, pliants, en papier ou en carton non ondulé")</f>
        <v xml:space="preserve">   Boîtes et cartonnages, pliants, en papier ou en carton non ondulé</v>
      </c>
      <c r="C10558">
        <v>2734084</v>
      </c>
      <c r="D10558">
        <v>985</v>
      </c>
    </row>
    <row r="10559" spans="1:4" x14ac:dyDescent="0.25">
      <c r="A10559" t="str">
        <f>T("   481930")</f>
        <v xml:space="preserve">   481930</v>
      </c>
      <c r="B10559" t="str">
        <f>T("   Sacs, en papier, carton, ouate de cellulose ou nappes de fibres de cellulose, d'une largeur à la base &gt;= 40 cm")</f>
        <v xml:space="preserve">   Sacs, en papier, carton, ouate de cellulose ou nappes de fibres de cellulose, d'une largeur à la base &gt;= 40 cm</v>
      </c>
      <c r="C10559">
        <v>55690268</v>
      </c>
      <c r="D10559">
        <v>74250</v>
      </c>
    </row>
    <row r="10560" spans="1:4" x14ac:dyDescent="0.25">
      <c r="A10560" t="str">
        <f>T("   482390")</f>
        <v xml:space="preserve">   482390</v>
      </c>
      <c r="B10560" t="s">
        <v>235</v>
      </c>
      <c r="C10560">
        <v>864555</v>
      </c>
      <c r="D10560">
        <v>39718</v>
      </c>
    </row>
    <row r="10561" spans="1:4" x14ac:dyDescent="0.25">
      <c r="A10561" t="str">
        <f>T("   490300")</f>
        <v xml:space="preserve">   490300</v>
      </c>
      <c r="B10561" t="str">
        <f>T("   Albums ou livres d'images et albums à dessiner ou à colorier, pour enfants")</f>
        <v xml:space="preserve">   Albums ou livres d'images et albums à dessiner ou à colorier, pour enfants</v>
      </c>
      <c r="C10561">
        <v>6094530</v>
      </c>
      <c r="D10561">
        <v>800</v>
      </c>
    </row>
    <row r="10562" spans="1:4" x14ac:dyDescent="0.25">
      <c r="A10562" t="str">
        <f>T("   520300")</f>
        <v xml:space="preserve">   520300</v>
      </c>
      <c r="B10562" t="str">
        <f>T("   Coton, cardé ou peigné")</f>
        <v xml:space="preserve">   Coton, cardé ou peigné</v>
      </c>
      <c r="C10562">
        <v>273535</v>
      </c>
      <c r="D10562">
        <v>75</v>
      </c>
    </row>
    <row r="10563" spans="1:4" x14ac:dyDescent="0.25">
      <c r="A10563" t="str">
        <f>T("   551599")</f>
        <v xml:space="preserve">   551599</v>
      </c>
      <c r="B10563" t="s">
        <v>257</v>
      </c>
      <c r="C10563">
        <v>1278597</v>
      </c>
      <c r="D10563">
        <v>1975</v>
      </c>
    </row>
    <row r="10564" spans="1:4" x14ac:dyDescent="0.25">
      <c r="A10564" t="str">
        <f>T("   560110")</f>
        <v xml:space="preserve">   560110</v>
      </c>
      <c r="B10564" t="str">
        <f>T("   Serviettes et tampons hygiéniques, couches pour bébés et articles hygiéniques simil., en ouates")</f>
        <v xml:space="preserve">   Serviettes et tampons hygiéniques, couches pour bébés et articles hygiéniques simil., en ouates</v>
      </c>
      <c r="C10564">
        <v>7635826</v>
      </c>
      <c r="D10564">
        <v>13788</v>
      </c>
    </row>
    <row r="10565" spans="1:4" x14ac:dyDescent="0.25">
      <c r="A10565" t="str">
        <f>T("   560121")</f>
        <v xml:space="preserve">   560121</v>
      </c>
      <c r="B10565" t="s">
        <v>259</v>
      </c>
      <c r="C10565">
        <v>1613184</v>
      </c>
      <c r="D10565">
        <v>2933</v>
      </c>
    </row>
    <row r="10566" spans="1:4" x14ac:dyDescent="0.25">
      <c r="A10566" t="str">
        <f>T("   560900")</f>
        <v xml:space="preserve">   560900</v>
      </c>
      <c r="B10566" t="str">
        <f>T("   Articles en fils, lames ou formes simil. du n° 5404 ou 5405, ficelles, cordes ou cordages du n° 5607, n.d.a.")</f>
        <v xml:space="preserve">   Articles en fils, lames ou formes simil. du n° 5404 ou 5405, ficelles, cordes ou cordages du n° 5607, n.d.a.</v>
      </c>
      <c r="C10566">
        <v>232210</v>
      </c>
      <c r="D10566">
        <v>80</v>
      </c>
    </row>
    <row r="10567" spans="1:4" x14ac:dyDescent="0.25">
      <c r="A10567" t="str">
        <f>T("   570242")</f>
        <v xml:space="preserve">   570242</v>
      </c>
      <c r="B10567" t="s">
        <v>265</v>
      </c>
      <c r="C10567">
        <v>6730000</v>
      </c>
      <c r="D10567">
        <v>19980</v>
      </c>
    </row>
    <row r="10568" spans="1:4" x14ac:dyDescent="0.25">
      <c r="A10568" t="str">
        <f>T("   610990")</f>
        <v xml:space="preserve">   610990</v>
      </c>
      <c r="B10568" t="str">
        <f>T("   T-shirts et maillots de corps, en bonneterie, de matières textiles (sauf de coton)")</f>
        <v xml:space="preserve">   T-shirts et maillots de corps, en bonneterie, de matières textiles (sauf de coton)</v>
      </c>
      <c r="C10568">
        <v>1376954</v>
      </c>
      <c r="D10568">
        <v>24315</v>
      </c>
    </row>
    <row r="10569" spans="1:4" x14ac:dyDescent="0.25">
      <c r="A10569" t="str">
        <f>T("   611019")</f>
        <v xml:space="preserve">   611019</v>
      </c>
      <c r="B10569" t="str">
        <f>T("   Chandails, pull-overs, cardigans, gilets et articles simil., y.c. les sous-pulls, en bonneterie, de poils fins (sauf de poils de chèvre du Cachemire et à l'excl. des gilets ouatinés)")</f>
        <v xml:space="preserve">   Chandails, pull-overs, cardigans, gilets et articles simil., y.c. les sous-pulls, en bonneterie, de poils fins (sauf de poils de chèvre du Cachemire et à l'excl. des gilets ouatinés)</v>
      </c>
      <c r="C10569">
        <v>233987</v>
      </c>
      <c r="D10569">
        <v>172</v>
      </c>
    </row>
    <row r="10570" spans="1:4" x14ac:dyDescent="0.25">
      <c r="A10570" t="str">
        <f>T("   621040")</f>
        <v xml:space="preserve">   621040</v>
      </c>
      <c r="B10570" t="s">
        <v>294</v>
      </c>
      <c r="C10570">
        <v>600000</v>
      </c>
      <c r="D10570">
        <v>369</v>
      </c>
    </row>
    <row r="10571" spans="1:4" x14ac:dyDescent="0.25">
      <c r="A10571" t="str">
        <f>T("   630319")</f>
        <v xml:space="preserve">   630319</v>
      </c>
      <c r="B10571"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10571">
        <v>2965966</v>
      </c>
      <c r="D10571">
        <v>4324</v>
      </c>
    </row>
    <row r="10572" spans="1:4" x14ac:dyDescent="0.25">
      <c r="A10572" t="str">
        <f>T("   630399")</f>
        <v xml:space="preserve">   630399</v>
      </c>
      <c r="B1057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0572">
        <v>3821435</v>
      </c>
      <c r="D10572">
        <v>5400</v>
      </c>
    </row>
    <row r="10573" spans="1:4" x14ac:dyDescent="0.25">
      <c r="A10573" t="str">
        <f>T("   630710")</f>
        <v xml:space="preserve">   630710</v>
      </c>
      <c r="B10573" t="str">
        <f>T("   Serpillières ou wassingues, lavettes, chamoisettes et articles d'entretien simil. en tous types de matières textiles")</f>
        <v xml:space="preserve">   Serpillières ou wassingues, lavettes, chamoisettes et articles d'entretien simil. en tous types de matières textiles</v>
      </c>
      <c r="C10573">
        <v>799284</v>
      </c>
      <c r="D10573">
        <v>4000</v>
      </c>
    </row>
    <row r="10574" spans="1:4" x14ac:dyDescent="0.25">
      <c r="A10574" t="str">
        <f>T("   640590")</f>
        <v xml:space="preserve">   640590</v>
      </c>
      <c r="B10574" t="s">
        <v>311</v>
      </c>
      <c r="C10574">
        <v>4979392</v>
      </c>
      <c r="D10574">
        <v>5500</v>
      </c>
    </row>
    <row r="10575" spans="1:4" x14ac:dyDescent="0.25">
      <c r="A10575" t="str">
        <f>T("   660199")</f>
        <v xml:space="preserve">   660199</v>
      </c>
      <c r="B10575"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0575">
        <v>1241076</v>
      </c>
      <c r="D10575">
        <v>423</v>
      </c>
    </row>
    <row r="10576" spans="1:4" x14ac:dyDescent="0.25">
      <c r="A10576" t="str">
        <f>T("   680919")</f>
        <v xml:space="preserve">   680919</v>
      </c>
      <c r="B10576" t="s">
        <v>325</v>
      </c>
      <c r="C10576">
        <v>15443045</v>
      </c>
      <c r="D10576">
        <v>280300</v>
      </c>
    </row>
    <row r="10577" spans="1:4" x14ac:dyDescent="0.25">
      <c r="A10577" t="str">
        <f>T("   690590")</f>
        <v xml:space="preserve">   690590</v>
      </c>
      <c r="B10577" t="s">
        <v>334</v>
      </c>
      <c r="C10577">
        <v>327691</v>
      </c>
      <c r="D10577">
        <v>414</v>
      </c>
    </row>
    <row r="10578" spans="1:4" x14ac:dyDescent="0.25">
      <c r="A10578" t="str">
        <f>T("   691090")</f>
        <v xml:space="preserve">   691090</v>
      </c>
      <c r="B10578" t="s">
        <v>339</v>
      </c>
      <c r="C10578">
        <v>2728794</v>
      </c>
      <c r="D10578">
        <v>1400</v>
      </c>
    </row>
    <row r="10579" spans="1:4" x14ac:dyDescent="0.25">
      <c r="A10579" t="str">
        <f>T("   702000")</f>
        <v xml:space="preserve">   702000</v>
      </c>
      <c r="B10579" t="str">
        <f>T("   Ouvrages en verre n.d.a.")</f>
        <v xml:space="preserve">   Ouvrages en verre n.d.a.</v>
      </c>
      <c r="C10579">
        <v>6683576</v>
      </c>
      <c r="D10579">
        <v>18528</v>
      </c>
    </row>
    <row r="10580" spans="1:4" x14ac:dyDescent="0.25">
      <c r="A10580" t="str">
        <f>T("   720851")</f>
        <v xml:space="preserve">   720851</v>
      </c>
      <c r="B10580" t="str">
        <f>T("   PRODUITS LAMINÉS PLATS, EN FER OU EN ACIERS NON-ALLIÉS, D'UNE LARGEUR &gt;= 600 MM, NON-ENROULÉS, SIMPL. LAMINÉS À CHAUD, NON-PLAQUÉS NI REVÊTUS, ÉPAISSEUR &gt; 10 MM (SANS MOTIFS EN RELIEF)")</f>
        <v xml:space="preserve">   PRODUITS LAMINÉS PLATS, EN FER OU EN ACIERS NON-ALLIÉS, D'UNE LARGEUR &gt;= 600 MM, NON-ENROULÉS, SIMPL. LAMINÉS À CHAUD, NON-PLAQUÉS NI REVÊTUS, ÉPAISSEUR &gt; 10 MM (SANS MOTIFS EN RELIEF)</v>
      </c>
      <c r="C10580">
        <v>67039206</v>
      </c>
      <c r="D10580">
        <v>250520</v>
      </c>
    </row>
    <row r="10581" spans="1:4" x14ac:dyDescent="0.25">
      <c r="A10581" t="str">
        <f>T("   721190")</f>
        <v xml:space="preserve">   721190</v>
      </c>
      <c r="B10581"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10581">
        <v>15786307</v>
      </c>
      <c r="D10581">
        <v>25740</v>
      </c>
    </row>
    <row r="10582" spans="1:4" x14ac:dyDescent="0.25">
      <c r="A10582" t="str">
        <f>T("   721499")</f>
        <v xml:space="preserve">   721499</v>
      </c>
      <c r="B10582" t="s">
        <v>367</v>
      </c>
      <c r="C10582">
        <v>13468585</v>
      </c>
      <c r="D10582">
        <v>84340</v>
      </c>
    </row>
    <row r="10583" spans="1:4" x14ac:dyDescent="0.25">
      <c r="A10583" t="str">
        <f>T("   721590")</f>
        <v xml:space="preserve">   721590</v>
      </c>
      <c r="B10583"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583">
        <v>13107600</v>
      </c>
      <c r="D10583">
        <v>78020</v>
      </c>
    </row>
    <row r="10584" spans="1:4" x14ac:dyDescent="0.25">
      <c r="A10584" t="str">
        <f>T("   721610")</f>
        <v xml:space="preserve">   721610</v>
      </c>
      <c r="B10584" t="str">
        <f>T("   PROFILÉS U, I OU H EN FER OU EN ACIERS NON ALLIÉS, SIMPLEMENT LAMINÉS OU FILÉS À CHAUD, HAUTEUR &lt; 80 MM")</f>
        <v xml:space="preserve">   PROFILÉS U, I OU H EN FER OU EN ACIERS NON ALLIÉS, SIMPLEMENT LAMINÉS OU FILÉS À CHAUD, HAUTEUR &lt; 80 MM</v>
      </c>
      <c r="C10584">
        <v>16937781</v>
      </c>
      <c r="D10584">
        <v>52760</v>
      </c>
    </row>
    <row r="10585" spans="1:4" x14ac:dyDescent="0.25">
      <c r="A10585" t="str">
        <f>T("   721621")</f>
        <v xml:space="preserve">   721621</v>
      </c>
      <c r="B10585" t="str">
        <f>T("   PROFILÉS EN L EN FER OU ACIERS NON ALLIÉS, SIMPLEMENT LAMINÉS OU FILÉS À CHAUD, HAUTEUR &lt; 80 MM")</f>
        <v xml:space="preserve">   PROFILÉS EN L EN FER OU ACIERS NON ALLIÉS, SIMPLEMENT LAMINÉS OU FILÉS À CHAUD, HAUTEUR &lt; 80 MM</v>
      </c>
      <c r="C10585">
        <v>49383815</v>
      </c>
      <c r="D10585">
        <v>266270</v>
      </c>
    </row>
    <row r="10586" spans="1:4" x14ac:dyDescent="0.25">
      <c r="A10586" t="str">
        <f>T("   721632")</f>
        <v xml:space="preserve">   721632</v>
      </c>
      <c r="B10586" t="str">
        <f>T("   PROFILÉS EN I, EN FER OU EN ACIERS NON-ALLIÉS, SIMPL. LAMINÉS OU FILÉS À CHAUD, D'UNE HAUTEUR &gt;= 80 MM")</f>
        <v xml:space="preserve">   PROFILÉS EN I, EN FER OU EN ACIERS NON-ALLIÉS, SIMPL. LAMINÉS OU FILÉS À CHAUD, D'UNE HAUTEUR &gt;= 80 MM</v>
      </c>
      <c r="C10586">
        <v>20512494</v>
      </c>
      <c r="D10586">
        <v>83220</v>
      </c>
    </row>
    <row r="10587" spans="1:4" x14ac:dyDescent="0.25">
      <c r="A10587" t="str">
        <f>T("   721650")</f>
        <v xml:space="preserve">   721650</v>
      </c>
      <c r="B10587"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587">
        <v>11043324</v>
      </c>
      <c r="D10587">
        <v>78818</v>
      </c>
    </row>
    <row r="10588" spans="1:4" x14ac:dyDescent="0.25">
      <c r="A10588" t="str">
        <f>T("   721661")</f>
        <v xml:space="preserve">   721661</v>
      </c>
      <c r="B10588"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10588">
        <v>26936671</v>
      </c>
      <c r="D10588">
        <v>163980</v>
      </c>
    </row>
    <row r="10589" spans="1:4" x14ac:dyDescent="0.25">
      <c r="A10589" t="str">
        <f>T("   730810")</f>
        <v xml:space="preserve">   730810</v>
      </c>
      <c r="B10589" t="str">
        <f>T("   Ponts et éléments de ponts, en fer ou en acier")</f>
        <v xml:space="preserve">   Ponts et éléments de ponts, en fer ou en acier</v>
      </c>
      <c r="C10589">
        <v>41179830</v>
      </c>
      <c r="D10589">
        <v>31488</v>
      </c>
    </row>
    <row r="10590" spans="1:4" x14ac:dyDescent="0.25">
      <c r="A10590" t="str">
        <f>T("   730890")</f>
        <v xml:space="preserve">   730890</v>
      </c>
      <c r="B10590" t="s">
        <v>376</v>
      </c>
      <c r="C10590">
        <v>33497260</v>
      </c>
      <c r="D10590">
        <v>74335</v>
      </c>
    </row>
    <row r="10591" spans="1:4" x14ac:dyDescent="0.25">
      <c r="A10591" t="str">
        <f>T("   731100")</f>
        <v xml:space="preserve">   731100</v>
      </c>
      <c r="B10591"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591">
        <v>92523948</v>
      </c>
      <c r="D10591">
        <v>43731</v>
      </c>
    </row>
    <row r="10592" spans="1:4" x14ac:dyDescent="0.25">
      <c r="A10592" t="str">
        <f>T("   732111")</f>
        <v xml:space="preserve">   732111</v>
      </c>
      <c r="B10592" t="s">
        <v>382</v>
      </c>
      <c r="C10592">
        <v>53723454</v>
      </c>
      <c r="D10592">
        <v>40490.300000000003</v>
      </c>
    </row>
    <row r="10593" spans="1:4" x14ac:dyDescent="0.25">
      <c r="A10593" t="str">
        <f>T("   732190")</f>
        <v xml:space="preserve">   732190</v>
      </c>
      <c r="B10593" t="str">
        <f>T("   Parties des appareils ménagers chauffants non-électriques du n° 7321, n.d.a.")</f>
        <v xml:space="preserve">   Parties des appareils ménagers chauffants non-électriques du n° 7321, n.d.a.</v>
      </c>
      <c r="C10593">
        <v>2897408</v>
      </c>
      <c r="D10593">
        <v>1834</v>
      </c>
    </row>
    <row r="10594" spans="1:4" x14ac:dyDescent="0.25">
      <c r="A10594" t="str">
        <f>T("   732399")</f>
        <v xml:space="preserve">   732399</v>
      </c>
      <c r="B10594" t="s">
        <v>390</v>
      </c>
      <c r="C10594">
        <v>837438</v>
      </c>
      <c r="D10594">
        <v>876</v>
      </c>
    </row>
    <row r="10595" spans="1:4" x14ac:dyDescent="0.25">
      <c r="A10595" t="str">
        <f>T("   732690")</f>
        <v xml:space="preserve">   732690</v>
      </c>
      <c r="B1059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595">
        <v>1075545</v>
      </c>
      <c r="D10595">
        <v>718</v>
      </c>
    </row>
    <row r="10596" spans="1:4" x14ac:dyDescent="0.25">
      <c r="A10596" t="str">
        <f>T("   821300")</f>
        <v xml:space="preserve">   821300</v>
      </c>
      <c r="B10596"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10596">
        <v>405876</v>
      </c>
      <c r="D10596">
        <v>169</v>
      </c>
    </row>
    <row r="10597" spans="1:4" x14ac:dyDescent="0.25">
      <c r="A10597" t="str">
        <f>T("   821410")</f>
        <v xml:space="preserve">   821410</v>
      </c>
      <c r="B10597"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10597">
        <v>170818</v>
      </c>
      <c r="D10597">
        <v>319</v>
      </c>
    </row>
    <row r="10598" spans="1:4" x14ac:dyDescent="0.25">
      <c r="A10598" t="str">
        <f>T("   830510")</f>
        <v xml:space="preserve">   830510</v>
      </c>
      <c r="B10598" t="str">
        <f>T("   Mécanismes pour reliure de feuillets mobiles ou pour classeurs, en métaux communs (sauf fermoirs pour livres et registres)")</f>
        <v xml:space="preserve">   Mécanismes pour reliure de feuillets mobiles ou pour classeurs, en métaux communs (sauf fermoirs pour livres et registres)</v>
      </c>
      <c r="C10598">
        <v>67641</v>
      </c>
      <c r="D10598">
        <v>37</v>
      </c>
    </row>
    <row r="10599" spans="1:4" x14ac:dyDescent="0.25">
      <c r="A10599" t="str">
        <f>T("   841510")</f>
        <v xml:space="preserve">   841510</v>
      </c>
      <c r="B10599" t="s">
        <v>422</v>
      </c>
      <c r="C10599">
        <v>39068826</v>
      </c>
      <c r="D10599">
        <v>16260</v>
      </c>
    </row>
    <row r="10600" spans="1:4" x14ac:dyDescent="0.25">
      <c r="A10600" t="str">
        <f>T("   841610")</f>
        <v xml:space="preserve">   841610</v>
      </c>
      <c r="B10600" t="str">
        <f>T("   Brûleurs pour foyers à combustibles liquides")</f>
        <v xml:space="preserve">   Brûleurs pour foyers à combustibles liquides</v>
      </c>
      <c r="C10600">
        <v>8664576</v>
      </c>
      <c r="D10600">
        <v>2573</v>
      </c>
    </row>
    <row r="10601" spans="1:4" x14ac:dyDescent="0.25">
      <c r="A10601" t="str">
        <f>T("   841810")</f>
        <v xml:space="preserve">   841810</v>
      </c>
      <c r="B10601" t="str">
        <f>T("   Réfrigérateurs et congélateurs-conservateurs combinés, avec portes extérieures séparées")</f>
        <v xml:space="preserve">   Réfrigérateurs et congélateurs-conservateurs combinés, avec portes extérieures séparées</v>
      </c>
      <c r="C10601">
        <v>854060</v>
      </c>
      <c r="D10601">
        <v>438</v>
      </c>
    </row>
    <row r="10602" spans="1:4" x14ac:dyDescent="0.25">
      <c r="A10602" t="str">
        <f>T("   841821")</f>
        <v xml:space="preserve">   841821</v>
      </c>
      <c r="B10602" t="str">
        <f>T("   Réfrigérateurs ménagers à compression")</f>
        <v xml:space="preserve">   Réfrigérateurs ménagers à compression</v>
      </c>
      <c r="C10602">
        <v>64939186</v>
      </c>
      <c r="D10602">
        <v>44607</v>
      </c>
    </row>
    <row r="10603" spans="1:4" x14ac:dyDescent="0.25">
      <c r="A10603" t="str">
        <f>T("   841829")</f>
        <v xml:space="preserve">   841829</v>
      </c>
      <c r="B10603" t="str">
        <f>T("   Réfrigérateurs ménagers à absorption, non-électriques")</f>
        <v xml:space="preserve">   Réfrigérateurs ménagers à absorption, non-électriques</v>
      </c>
      <c r="C10603">
        <v>9571420</v>
      </c>
      <c r="D10603">
        <v>6260</v>
      </c>
    </row>
    <row r="10604" spans="1:4" x14ac:dyDescent="0.25">
      <c r="A10604" t="str">
        <f>T("   841830")</f>
        <v xml:space="preserve">   841830</v>
      </c>
      <c r="B10604" t="str">
        <f>T("   Meubles congélateurs-conservateurs du type coffre, capacité &lt;= 800 l")</f>
        <v xml:space="preserve">   Meubles congélateurs-conservateurs du type coffre, capacité &lt;= 800 l</v>
      </c>
      <c r="C10604">
        <v>7646100</v>
      </c>
      <c r="D10604">
        <v>7117</v>
      </c>
    </row>
    <row r="10605" spans="1:4" x14ac:dyDescent="0.25">
      <c r="A10605" t="str">
        <f>T("   842211")</f>
        <v xml:space="preserve">   842211</v>
      </c>
      <c r="B10605" t="str">
        <f>T("   Machines à laver la vaisselle, de type ménager")</f>
        <v xml:space="preserve">   Machines à laver la vaisselle, de type ménager</v>
      </c>
      <c r="C10605">
        <v>15292192</v>
      </c>
      <c r="D10605">
        <v>23178</v>
      </c>
    </row>
    <row r="10606" spans="1:4" x14ac:dyDescent="0.25">
      <c r="A10606" t="str">
        <f>T("   842810")</f>
        <v xml:space="preserve">   842810</v>
      </c>
      <c r="B10606" t="str">
        <f>T("   Ascenseurs et monte-charge")</f>
        <v xml:space="preserve">   Ascenseurs et monte-charge</v>
      </c>
      <c r="C10606">
        <v>3943134</v>
      </c>
      <c r="D10606">
        <v>3389</v>
      </c>
    </row>
    <row r="10607" spans="1:4" x14ac:dyDescent="0.25">
      <c r="A10607" t="str">
        <f>T("   846019")</f>
        <v xml:space="preserve">   846019</v>
      </c>
      <c r="B10607" t="str">
        <f>T("   Machines à rectifier les surfaces planes dont le positionnement dans un des axes peut être réglé à au moins 0,01 mm près, pour le travail des métaux (autres qu'à commande numérique)")</f>
        <v xml:space="preserve">   Machines à rectifier les surfaces planes dont le positionnement dans un des axes peut être réglé à au moins 0,01 mm près, pour le travail des métaux (autres qu'à commande numérique)</v>
      </c>
      <c r="C10607">
        <v>876296</v>
      </c>
      <c r="D10607">
        <v>5600</v>
      </c>
    </row>
    <row r="10608" spans="1:4" x14ac:dyDescent="0.25">
      <c r="A10608" t="str">
        <f>T("   846190")</f>
        <v xml:space="preserve">   846190</v>
      </c>
      <c r="B10608" t="str">
        <f>T("   Machines à raboter et autres machines-outils travaillant par enlèvement de métal, n.d.a.")</f>
        <v xml:space="preserve">   Machines à raboter et autres machines-outils travaillant par enlèvement de métal, n.d.a.</v>
      </c>
      <c r="C10608">
        <v>11650269</v>
      </c>
      <c r="D10608">
        <v>4950</v>
      </c>
    </row>
    <row r="10609" spans="1:4" x14ac:dyDescent="0.25">
      <c r="A10609" t="str">
        <f>T("   846599")</f>
        <v xml:space="preserve">   846599</v>
      </c>
      <c r="B10609" t="s">
        <v>455</v>
      </c>
      <c r="C10609">
        <v>1500000</v>
      </c>
      <c r="D10609">
        <v>8038</v>
      </c>
    </row>
    <row r="10610" spans="1:4" x14ac:dyDescent="0.25">
      <c r="A10610" t="str">
        <f>T("   846694")</f>
        <v xml:space="preserve">   846694</v>
      </c>
      <c r="B10610" t="str">
        <f>T("   Parties et accessoires pour machines-outils pour le travail du métal avec enlèvement de matière, n.d.a.")</f>
        <v xml:space="preserve">   Parties et accessoires pour machines-outils pour le travail du métal avec enlèvement de matière, n.d.a.</v>
      </c>
      <c r="C10610">
        <v>20366777</v>
      </c>
      <c r="D10610">
        <v>164</v>
      </c>
    </row>
    <row r="10611" spans="1:4" x14ac:dyDescent="0.25">
      <c r="A10611" t="str">
        <f>T("   847130")</f>
        <v xml:space="preserve">   847130</v>
      </c>
      <c r="B10611"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0611">
        <v>131192</v>
      </c>
      <c r="D10611">
        <v>8</v>
      </c>
    </row>
    <row r="10612" spans="1:4" x14ac:dyDescent="0.25">
      <c r="A10612" t="str">
        <f>T("   847431")</f>
        <v xml:space="preserve">   847431</v>
      </c>
      <c r="B10612"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612">
        <v>7871520</v>
      </c>
      <c r="D10612">
        <v>1495</v>
      </c>
    </row>
    <row r="10613" spans="1:4" x14ac:dyDescent="0.25">
      <c r="A10613" t="str">
        <f>T("   847480")</f>
        <v xml:space="preserve">   847480</v>
      </c>
      <c r="B10613" t="s">
        <v>462</v>
      </c>
      <c r="C10613">
        <v>559503</v>
      </c>
      <c r="D10613">
        <v>125</v>
      </c>
    </row>
    <row r="10614" spans="1:4" x14ac:dyDescent="0.25">
      <c r="A10614" t="str">
        <f>T("   847490")</f>
        <v xml:space="preserve">   847490</v>
      </c>
      <c r="B10614" t="str">
        <f>T("   Parties des machines et appareils pour le travail des matières minérales du n° 8474, n.d.a.")</f>
        <v xml:space="preserve">   Parties des machines et appareils pour le travail des matières minérales du n° 8474, n.d.a.</v>
      </c>
      <c r="C10614">
        <v>48151399</v>
      </c>
      <c r="D10614">
        <v>5250</v>
      </c>
    </row>
    <row r="10615" spans="1:4" x14ac:dyDescent="0.25">
      <c r="A10615" t="str">
        <f>T("   848110")</f>
        <v xml:space="preserve">   848110</v>
      </c>
      <c r="B10615" t="str">
        <f>T("   Détendeurs")</f>
        <v xml:space="preserve">   Détendeurs</v>
      </c>
      <c r="C10615">
        <v>7301104</v>
      </c>
      <c r="D10615">
        <v>1165.54</v>
      </c>
    </row>
    <row r="10616" spans="1:4" x14ac:dyDescent="0.25">
      <c r="A10616" t="str">
        <f>T("   848180")</f>
        <v xml:space="preserve">   848180</v>
      </c>
      <c r="B106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616">
        <v>5472143</v>
      </c>
      <c r="D10616">
        <v>1617.85</v>
      </c>
    </row>
    <row r="10617" spans="1:4" x14ac:dyDescent="0.25">
      <c r="A10617" t="str">
        <f>T("   850132")</f>
        <v xml:space="preserve">   850132</v>
      </c>
      <c r="B10617" t="str">
        <f>T("   Moteurs et génératrices à courant continu, puissance &gt; 750 W mais &lt;= 75 kW")</f>
        <v xml:space="preserve">   Moteurs et génératrices à courant continu, puissance &gt; 750 W mais &lt;= 75 kW</v>
      </c>
      <c r="C10617">
        <v>44000000</v>
      </c>
      <c r="D10617">
        <v>78890</v>
      </c>
    </row>
    <row r="10618" spans="1:4" x14ac:dyDescent="0.25">
      <c r="A10618" t="str">
        <f>T("   850211")</f>
        <v xml:space="preserve">   850211</v>
      </c>
      <c r="B10618" t="s">
        <v>470</v>
      </c>
      <c r="C10618">
        <v>32230595</v>
      </c>
      <c r="D10618">
        <v>11010</v>
      </c>
    </row>
    <row r="10619" spans="1:4" x14ac:dyDescent="0.25">
      <c r="A10619" t="str">
        <f>T("   851660")</f>
        <v xml:space="preserve">   851660</v>
      </c>
      <c r="B10619"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619">
        <v>32331402</v>
      </c>
      <c r="D10619">
        <v>26318</v>
      </c>
    </row>
    <row r="10620" spans="1:4" x14ac:dyDescent="0.25">
      <c r="A10620" t="str">
        <f>T("   851690")</f>
        <v xml:space="preserve">   851690</v>
      </c>
      <c r="B10620"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10620">
        <v>78668</v>
      </c>
      <c r="D10620">
        <v>70</v>
      </c>
    </row>
    <row r="10621" spans="1:4" x14ac:dyDescent="0.25">
      <c r="A10621" t="str">
        <f>T("   852910")</f>
        <v xml:space="preserve">   852910</v>
      </c>
      <c r="B1062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621">
        <v>356370</v>
      </c>
      <c r="D10621">
        <v>15000</v>
      </c>
    </row>
    <row r="10622" spans="1:4" x14ac:dyDescent="0.25">
      <c r="A10622" t="str">
        <f>T("   853669")</f>
        <v xml:space="preserve">   853669</v>
      </c>
      <c r="B10622" t="str">
        <f>T("   Fiches et prises de courant, pour une tension &lt;= 1.000 V (sauf douilles pour lampes)")</f>
        <v xml:space="preserve">   Fiches et prises de courant, pour une tension &lt;= 1.000 V (sauf douilles pour lampes)</v>
      </c>
      <c r="C10622">
        <v>6542939</v>
      </c>
      <c r="D10622">
        <v>6050</v>
      </c>
    </row>
    <row r="10623" spans="1:4" x14ac:dyDescent="0.25">
      <c r="A10623" t="str">
        <f>T("   853710")</f>
        <v xml:space="preserve">   853710</v>
      </c>
      <c r="B10623"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623">
        <v>44047734</v>
      </c>
      <c r="D10623">
        <v>19800</v>
      </c>
    </row>
    <row r="10624" spans="1:4" x14ac:dyDescent="0.25">
      <c r="A10624" t="str">
        <f>T("   854449")</f>
        <v xml:space="preserve">   854449</v>
      </c>
      <c r="B10624" t="str">
        <f>T("   CONDUCTEURS ÉLECTRIQUES, POUR TENSION &lt;= 1.000 V, ISOLÉS, SANS PIÈCES DE CONNEXION, N.D.A.")</f>
        <v xml:space="preserve">   CONDUCTEURS ÉLECTRIQUES, POUR TENSION &lt;= 1.000 V, ISOLÉS, SANS PIÈCES DE CONNEXION, N.D.A.</v>
      </c>
      <c r="C10624">
        <v>18026319</v>
      </c>
      <c r="D10624">
        <v>38114</v>
      </c>
    </row>
    <row r="10625" spans="1:4" x14ac:dyDescent="0.25">
      <c r="A10625" t="str">
        <f>T("   871200")</f>
        <v xml:space="preserve">   871200</v>
      </c>
      <c r="B10625" t="str">
        <f>T("   BICYCLETTES ET AUTRES CYCLES, -Y.C. LES TRIPORTEURS-, SANS MOTEUR")</f>
        <v xml:space="preserve">   BICYCLETTES ET AUTRES CYCLES, -Y.C. LES TRIPORTEURS-, SANS MOTEUR</v>
      </c>
      <c r="C10625">
        <v>3494150</v>
      </c>
      <c r="D10625">
        <v>3002</v>
      </c>
    </row>
    <row r="10626" spans="1:4" x14ac:dyDescent="0.25">
      <c r="A10626" t="str">
        <f>T("   901780")</f>
        <v xml:space="preserve">   901780</v>
      </c>
      <c r="B10626" t="str">
        <f>T("   Instruments de mesure de longueurs, pour emploi à la main, n.d.a.")</f>
        <v xml:space="preserve">   Instruments de mesure de longueurs, pour emploi à la main, n.d.a.</v>
      </c>
      <c r="C10626">
        <v>1187400</v>
      </c>
      <c r="D10626">
        <v>1733</v>
      </c>
    </row>
    <row r="10627" spans="1:4" x14ac:dyDescent="0.25">
      <c r="A10627" t="str">
        <f>T("   901890")</f>
        <v xml:space="preserve">   901890</v>
      </c>
      <c r="B10627" t="str">
        <f>T("   Instruments et appareils pour la médecine, la chirurgie ou l'art vétérinaire, n.d.a.")</f>
        <v xml:space="preserve">   Instruments et appareils pour la médecine, la chirurgie ou l'art vétérinaire, n.d.a.</v>
      </c>
      <c r="C10627">
        <v>2141709</v>
      </c>
      <c r="D10627">
        <v>297</v>
      </c>
    </row>
    <row r="10628" spans="1:4" x14ac:dyDescent="0.25">
      <c r="A10628" t="str">
        <f>T("   903039")</f>
        <v xml:space="preserve">   903039</v>
      </c>
      <c r="B10628"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10628">
        <v>295538</v>
      </c>
      <c r="D10628">
        <v>158</v>
      </c>
    </row>
    <row r="10629" spans="1:4" x14ac:dyDescent="0.25">
      <c r="A10629" t="str">
        <f>T("   903289")</f>
        <v xml:space="preserve">   903289</v>
      </c>
      <c r="B10629" t="s">
        <v>534</v>
      </c>
      <c r="C10629">
        <v>2112847</v>
      </c>
      <c r="D10629">
        <v>447</v>
      </c>
    </row>
    <row r="10630" spans="1:4" x14ac:dyDescent="0.25">
      <c r="A10630" t="str">
        <f>T("   940310")</f>
        <v xml:space="preserve">   940310</v>
      </c>
      <c r="B10630" t="str">
        <f>T("   Meubles de bureau en métal (sauf sièges)")</f>
        <v xml:space="preserve">   Meubles de bureau en métal (sauf sièges)</v>
      </c>
      <c r="C10630">
        <v>9037554</v>
      </c>
      <c r="D10630">
        <v>8252</v>
      </c>
    </row>
    <row r="10631" spans="1:4" x14ac:dyDescent="0.25">
      <c r="A10631" t="str">
        <f>T("   940330")</f>
        <v xml:space="preserve">   940330</v>
      </c>
      <c r="B10631" t="str">
        <f>T("   Meubles de bureau en bois (sauf sièges)")</f>
        <v xml:space="preserve">   Meubles de bureau en bois (sauf sièges)</v>
      </c>
      <c r="C10631">
        <v>1049536</v>
      </c>
      <c r="D10631">
        <v>224</v>
      </c>
    </row>
    <row r="10632" spans="1:4" x14ac:dyDescent="0.25">
      <c r="A10632" t="str">
        <f>T("   940370")</f>
        <v xml:space="preserve">   940370</v>
      </c>
      <c r="B10632"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632">
        <v>8209727</v>
      </c>
      <c r="D10632">
        <v>10703</v>
      </c>
    </row>
    <row r="10633" spans="1:4" x14ac:dyDescent="0.25">
      <c r="A10633" t="str">
        <f>T("   940380")</f>
        <v xml:space="preserve">   940380</v>
      </c>
      <c r="B10633" t="str">
        <f>T("   Meubles en rotin, osier, bambou ou autres matières (sauf métal, bois et matières plastiques)")</f>
        <v xml:space="preserve">   Meubles en rotin, osier, bambou ou autres matières (sauf métal, bois et matières plastiques)</v>
      </c>
      <c r="C10633">
        <v>1966142</v>
      </c>
      <c r="D10633">
        <v>13000</v>
      </c>
    </row>
    <row r="10634" spans="1:4" x14ac:dyDescent="0.25">
      <c r="A10634" t="str">
        <f>T("   940389")</f>
        <v xml:space="preserve">   940389</v>
      </c>
      <c r="B10634"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0634">
        <v>17579728</v>
      </c>
      <c r="D10634">
        <v>11240</v>
      </c>
    </row>
    <row r="10635" spans="1:4" x14ac:dyDescent="0.25">
      <c r="A10635" t="str">
        <f>T("   940429")</f>
        <v xml:space="preserve">   940429</v>
      </c>
      <c r="B1063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635">
        <v>978889</v>
      </c>
      <c r="D10635">
        <v>1394</v>
      </c>
    </row>
    <row r="10636" spans="1:4" x14ac:dyDescent="0.25">
      <c r="A10636" t="str">
        <f>T("   940490")</f>
        <v xml:space="preserve">   940490</v>
      </c>
      <c r="B10636" t="s">
        <v>537</v>
      </c>
      <c r="C10636">
        <v>609200</v>
      </c>
      <c r="D10636">
        <v>228</v>
      </c>
    </row>
    <row r="10637" spans="1:4" x14ac:dyDescent="0.25">
      <c r="A10637" t="str">
        <f>T("   940510")</f>
        <v xml:space="preserve">   940510</v>
      </c>
      <c r="B10637"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10637">
        <v>436922</v>
      </c>
      <c r="D10637">
        <v>550</v>
      </c>
    </row>
    <row r="10638" spans="1:4" x14ac:dyDescent="0.25">
      <c r="A10638" t="str">
        <f>T("   940550")</f>
        <v xml:space="preserve">   940550</v>
      </c>
      <c r="B10638" t="str">
        <f>T("   Appareils d'éclairage non-électriques, n.d.a.")</f>
        <v xml:space="preserve">   Appareils d'éclairage non-électriques, n.d.a.</v>
      </c>
      <c r="C10638">
        <v>161340</v>
      </c>
      <c r="D10638">
        <v>137</v>
      </c>
    </row>
    <row r="10639" spans="1:4" x14ac:dyDescent="0.25">
      <c r="A10639" t="str">
        <f>T("   940600")</f>
        <v xml:space="preserve">   940600</v>
      </c>
      <c r="B10639" t="str">
        <f>T("   Constructions préfabriquées, même incomplètes ou non encore montées")</f>
        <v xml:space="preserve">   Constructions préfabriquées, même incomplètes ou non encore montées</v>
      </c>
      <c r="C10639">
        <v>231720586</v>
      </c>
      <c r="D10639">
        <v>34340</v>
      </c>
    </row>
    <row r="10640" spans="1:4" x14ac:dyDescent="0.25">
      <c r="A10640" t="str">
        <f>T("   960839")</f>
        <v xml:space="preserve">   960839</v>
      </c>
      <c r="B10640" t="str">
        <f>T("   Stylos à plume et autres stylos (autres qu'à dessiner à l'encre de Chine)")</f>
        <v xml:space="preserve">   Stylos à plume et autres stylos (autres qu'à dessiner à l'encre de Chine)</v>
      </c>
      <c r="C10640">
        <v>65596</v>
      </c>
      <c r="D10640">
        <v>35</v>
      </c>
    </row>
    <row r="10641" spans="1:4" x14ac:dyDescent="0.25">
      <c r="A10641" t="str">
        <f>T("TT")</f>
        <v>TT</v>
      </c>
      <c r="B10641" t="str">
        <f>T("Trinitad et Tobago")</f>
        <v>Trinitad et Tobago</v>
      </c>
    </row>
    <row r="10642" spans="1:4" x14ac:dyDescent="0.25">
      <c r="A10642" t="str">
        <f>T("   ZZ_Total_Produit_SH6")</f>
        <v xml:space="preserve">   ZZ_Total_Produit_SH6</v>
      </c>
      <c r="B10642" t="str">
        <f>T("   ZZ_Total_Produit_SH6")</f>
        <v xml:space="preserve">   ZZ_Total_Produit_SH6</v>
      </c>
      <c r="C10642">
        <v>122500000</v>
      </c>
      <c r="D10642">
        <v>350000</v>
      </c>
    </row>
    <row r="10643" spans="1:4" x14ac:dyDescent="0.25">
      <c r="A10643" t="str">
        <f>T("   271113")</f>
        <v xml:space="preserve">   271113</v>
      </c>
      <c r="B10643" t="str">
        <f>T("   Butanes, liquéfiés (à l'excl. des butanes d'une pureté &gt;= 95% en n-butane ou en isobutane)")</f>
        <v xml:space="preserve">   Butanes, liquéfiés (à l'excl. des butanes d'une pureté &gt;= 95% en n-butane ou en isobutane)</v>
      </c>
      <c r="C10643">
        <v>122500000</v>
      </c>
      <c r="D10643">
        <v>350000</v>
      </c>
    </row>
    <row r="10644" spans="1:4" x14ac:dyDescent="0.25">
      <c r="A10644" t="str">
        <f>T("TV")</f>
        <v>TV</v>
      </c>
      <c r="B10644" t="str">
        <f>T("Tuvalu")</f>
        <v>Tuvalu</v>
      </c>
    </row>
    <row r="10645" spans="1:4" x14ac:dyDescent="0.25">
      <c r="A10645" t="str">
        <f>T("   ZZ_Total_Produit_SH6")</f>
        <v xml:space="preserve">   ZZ_Total_Produit_SH6</v>
      </c>
      <c r="B10645" t="str">
        <f>T("   ZZ_Total_Produit_SH6")</f>
        <v xml:space="preserve">   ZZ_Total_Produit_SH6</v>
      </c>
      <c r="C10645">
        <v>1775000</v>
      </c>
      <c r="D10645">
        <v>1724</v>
      </c>
    </row>
    <row r="10646" spans="1:4" x14ac:dyDescent="0.25">
      <c r="A10646" t="str">
        <f>T("   110419")</f>
        <v xml:space="preserve">   110419</v>
      </c>
      <c r="B10646" t="str">
        <f>T("   GRAINS DE CÉRÉALES, APLATIS OU EN FLOCONS (À L'EXCL. DES GRAINS D'AVOINE)")</f>
        <v xml:space="preserve">   GRAINS DE CÉRÉALES, APLATIS OU EN FLOCONS (À L'EXCL. DES GRAINS D'AVOINE)</v>
      </c>
      <c r="C10646">
        <v>20000</v>
      </c>
      <c r="D10646">
        <v>420</v>
      </c>
    </row>
    <row r="10647" spans="1:4" x14ac:dyDescent="0.25">
      <c r="A10647" t="str">
        <f>T("   621020")</f>
        <v xml:space="preserve">   621020</v>
      </c>
      <c r="B10647"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10647">
        <v>806000</v>
      </c>
      <c r="D10647">
        <v>854</v>
      </c>
    </row>
    <row r="10648" spans="1:4" x14ac:dyDescent="0.25">
      <c r="A10648" t="str">
        <f>T("   630399")</f>
        <v xml:space="preserve">   630399</v>
      </c>
      <c r="B10648"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0648">
        <v>450000</v>
      </c>
      <c r="D10648">
        <v>130</v>
      </c>
    </row>
    <row r="10649" spans="1:4" x14ac:dyDescent="0.25">
      <c r="A10649" t="str">
        <f>T("   640590")</f>
        <v xml:space="preserve">   640590</v>
      </c>
      <c r="B10649" t="s">
        <v>311</v>
      </c>
      <c r="C10649">
        <v>499000</v>
      </c>
      <c r="D10649">
        <v>320</v>
      </c>
    </row>
    <row r="10650" spans="1:4" x14ac:dyDescent="0.25">
      <c r="A10650" t="str">
        <f>T("TW")</f>
        <v>TW</v>
      </c>
      <c r="B10650" t="str">
        <f>T("Taïwan, Province de Chine")</f>
        <v>Taïwan, Province de Chine</v>
      </c>
    </row>
    <row r="10651" spans="1:4" x14ac:dyDescent="0.25">
      <c r="A10651" t="str">
        <f>T("   ZZ_Total_Produit_SH6")</f>
        <v xml:space="preserve">   ZZ_Total_Produit_SH6</v>
      </c>
      <c r="B10651" t="str">
        <f>T("   ZZ_Total_Produit_SH6")</f>
        <v xml:space="preserve">   ZZ_Total_Produit_SH6</v>
      </c>
      <c r="C10651">
        <v>416389449</v>
      </c>
      <c r="D10651">
        <v>353257.6</v>
      </c>
    </row>
    <row r="10652" spans="1:4" x14ac:dyDescent="0.25">
      <c r="A10652" t="str">
        <f>T("   200919")</f>
        <v xml:space="preserve">   200919</v>
      </c>
      <c r="B10652"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652">
        <v>4895812</v>
      </c>
      <c r="D10652">
        <v>19840</v>
      </c>
    </row>
    <row r="10653" spans="1:4" x14ac:dyDescent="0.25">
      <c r="A10653" t="str">
        <f>T("   200980")</f>
        <v xml:space="preserve">   200980</v>
      </c>
      <c r="B1065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653">
        <v>9564680</v>
      </c>
      <c r="D10653">
        <v>38438.6</v>
      </c>
    </row>
    <row r="10654" spans="1:4" x14ac:dyDescent="0.25">
      <c r="A10654" t="str">
        <f>T("   200990")</f>
        <v xml:space="preserve">   200990</v>
      </c>
      <c r="B1065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654">
        <v>9952861</v>
      </c>
      <c r="D10654">
        <v>39358</v>
      </c>
    </row>
    <row r="10655" spans="1:4" x14ac:dyDescent="0.25">
      <c r="A10655" t="str">
        <f>T("   220290")</f>
        <v xml:space="preserve">   220290</v>
      </c>
      <c r="B10655" t="str">
        <f>T("   BOISSONS NON-ALCOOLIQUES (À L'EXCL. DES EAUX, DES JUS DE FRUITS OU DE LÉGUMES AINSI QUE DU LAIT)")</f>
        <v xml:space="preserve">   BOISSONS NON-ALCOOLIQUES (À L'EXCL. DES EAUX, DES JUS DE FRUITS OU DE LÉGUMES AINSI QUE DU LAIT)</v>
      </c>
      <c r="C10655">
        <v>21539734</v>
      </c>
      <c r="D10655">
        <v>79946</v>
      </c>
    </row>
    <row r="10656" spans="1:4" x14ac:dyDescent="0.25">
      <c r="A10656" t="str">
        <f>T("   320490")</f>
        <v xml:space="preserve">   320490</v>
      </c>
      <c r="B10656" t="str">
        <f>T("   Produits organiques synthétiques des types utilisés comme luminophores, même de constitution chimique définie")</f>
        <v xml:space="preserve">   Produits organiques synthétiques des types utilisés comme luminophores, même de constitution chimique définie</v>
      </c>
      <c r="C10656">
        <v>544698</v>
      </c>
      <c r="D10656">
        <v>165</v>
      </c>
    </row>
    <row r="10657" spans="1:4" x14ac:dyDescent="0.25">
      <c r="A10657" t="str">
        <f>T("   321590")</f>
        <v xml:space="preserve">   321590</v>
      </c>
      <c r="B10657" t="str">
        <f>T("   Encres à écrire et à dessiner, même concentrées ou sous formes solides")</f>
        <v xml:space="preserve">   Encres à écrire et à dessiner, même concentrées ou sous formes solides</v>
      </c>
      <c r="C10657">
        <v>87630</v>
      </c>
      <c r="D10657">
        <v>31</v>
      </c>
    </row>
    <row r="10658" spans="1:4" x14ac:dyDescent="0.25">
      <c r="A10658" t="str">
        <f>T("   381400")</f>
        <v xml:space="preserve">   381400</v>
      </c>
      <c r="B10658"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0658">
        <v>326122</v>
      </c>
      <c r="D10658">
        <v>200</v>
      </c>
    </row>
    <row r="10659" spans="1:4" x14ac:dyDescent="0.25">
      <c r="A10659" t="str">
        <f>T("   390799")</f>
        <v xml:space="preserve">   390799</v>
      </c>
      <c r="B10659"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10659">
        <v>34163709</v>
      </c>
      <c r="D10659">
        <v>44000</v>
      </c>
    </row>
    <row r="10660" spans="1:4" x14ac:dyDescent="0.25">
      <c r="A10660" t="str">
        <f>T("   391990")</f>
        <v xml:space="preserve">   391990</v>
      </c>
      <c r="B10660" t="s">
        <v>139</v>
      </c>
      <c r="C10660">
        <v>6821984</v>
      </c>
      <c r="D10660">
        <v>22334</v>
      </c>
    </row>
    <row r="10661" spans="1:4" x14ac:dyDescent="0.25">
      <c r="A10661" t="str">
        <f>T("   401110")</f>
        <v xml:space="preserve">   401110</v>
      </c>
      <c r="B1066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661">
        <v>50400174</v>
      </c>
      <c r="D10661">
        <v>16395</v>
      </c>
    </row>
    <row r="10662" spans="1:4" x14ac:dyDescent="0.25">
      <c r="A10662" t="str">
        <f>T("   844120")</f>
        <v xml:space="preserve">   844120</v>
      </c>
      <c r="B10662" t="str">
        <f>T("   Machines pour la fabrication de sacs, sachets ou enveloppes en pâte à papier, papier ou carton (sauf machines à coudre et machines à placer les oeillets)")</f>
        <v xml:space="preserve">   Machines pour la fabrication de sacs, sachets ou enveloppes en pâte à papier, papier ou carton (sauf machines à coudre et machines à placer les oeillets)</v>
      </c>
      <c r="C10662">
        <v>199468755</v>
      </c>
      <c r="D10662">
        <v>72737</v>
      </c>
    </row>
    <row r="10663" spans="1:4" x14ac:dyDescent="0.25">
      <c r="A10663" t="str">
        <f>T("   846694")</f>
        <v xml:space="preserve">   846694</v>
      </c>
      <c r="B10663" t="str">
        <f>T("   Parties et accessoires pour machines-outils pour le travail du métal avec enlèvement de matière, n.d.a.")</f>
        <v xml:space="preserve">   Parties et accessoires pour machines-outils pour le travail du métal avec enlèvement de matière, n.d.a.</v>
      </c>
      <c r="C10663">
        <v>100165</v>
      </c>
      <c r="D10663">
        <v>42</v>
      </c>
    </row>
    <row r="10664" spans="1:4" x14ac:dyDescent="0.25">
      <c r="A10664" t="str">
        <f>T("   850239")</f>
        <v xml:space="preserve">   850239</v>
      </c>
      <c r="B10664" t="str">
        <f>T("   Groupes électrogènes (autres qu'à énergie éolienne et à moteurs à piston)")</f>
        <v xml:space="preserve">   Groupes électrogènes (autres qu'à énergie éolienne et à moteurs à piston)</v>
      </c>
      <c r="C10664">
        <v>32363240</v>
      </c>
      <c r="D10664">
        <v>6500</v>
      </c>
    </row>
    <row r="10665" spans="1:4" x14ac:dyDescent="0.25">
      <c r="A10665" t="str">
        <f>T("   850300")</f>
        <v xml:space="preserve">   850300</v>
      </c>
      <c r="B1066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0665">
        <v>2155890</v>
      </c>
      <c r="D10665">
        <v>220</v>
      </c>
    </row>
    <row r="10666" spans="1:4" x14ac:dyDescent="0.25">
      <c r="A10666" t="str">
        <f>T("   851762")</f>
        <v xml:space="preserve">   851762</v>
      </c>
      <c r="B10666" t="s">
        <v>480</v>
      </c>
      <c r="C10666">
        <v>10905213</v>
      </c>
      <c r="D10666">
        <v>214</v>
      </c>
    </row>
    <row r="10667" spans="1:4" x14ac:dyDescent="0.25">
      <c r="A10667" t="str">
        <f>T("   851769")</f>
        <v xml:space="preserve">   851769</v>
      </c>
      <c r="B10667" t="s">
        <v>481</v>
      </c>
      <c r="C10667">
        <v>15338793</v>
      </c>
      <c r="D10667">
        <v>70</v>
      </c>
    </row>
    <row r="10668" spans="1:4" x14ac:dyDescent="0.25">
      <c r="A10668" t="str">
        <f>T("   870899")</f>
        <v xml:space="preserve">   870899</v>
      </c>
      <c r="B1066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668">
        <v>17458762</v>
      </c>
      <c r="D10668">
        <v>12590</v>
      </c>
    </row>
    <row r="10669" spans="1:4" x14ac:dyDescent="0.25">
      <c r="A10669" t="str">
        <f>T("   901890")</f>
        <v xml:space="preserve">   901890</v>
      </c>
      <c r="B10669" t="str">
        <f>T("   Instruments et appareils pour la médecine, la chirurgie ou l'art vétérinaire, n.d.a.")</f>
        <v xml:space="preserve">   Instruments et appareils pour la médecine, la chirurgie ou l'art vétérinaire, n.d.a.</v>
      </c>
      <c r="C10669">
        <v>301227</v>
      </c>
      <c r="D10669">
        <v>177</v>
      </c>
    </row>
    <row r="10670" spans="1:4" x14ac:dyDescent="0.25">
      <c r="A10670" t="str">
        <f>T("TZ")</f>
        <v>TZ</v>
      </c>
      <c r="B10670" t="str">
        <f>T("Tanzanie")</f>
        <v>Tanzanie</v>
      </c>
    </row>
    <row r="10671" spans="1:4" x14ac:dyDescent="0.25">
      <c r="A10671" t="str">
        <f>T("   ZZ_Total_Produit_SH6")</f>
        <v xml:space="preserve">   ZZ_Total_Produit_SH6</v>
      </c>
      <c r="B10671" t="str">
        <f>T("   ZZ_Total_Produit_SH6")</f>
        <v xml:space="preserve">   ZZ_Total_Produit_SH6</v>
      </c>
      <c r="C10671">
        <v>83127254</v>
      </c>
      <c r="D10671">
        <v>50187</v>
      </c>
    </row>
    <row r="10672" spans="1:4" x14ac:dyDescent="0.25">
      <c r="A10672" t="str">
        <f>T("   080810")</f>
        <v xml:space="preserve">   080810</v>
      </c>
      <c r="B10672" t="str">
        <f>T("   Pommes, fraîches")</f>
        <v xml:space="preserve">   Pommes, fraîches</v>
      </c>
      <c r="C10672">
        <v>7000405</v>
      </c>
      <c r="D10672">
        <v>19600</v>
      </c>
    </row>
    <row r="10673" spans="1:4" x14ac:dyDescent="0.25">
      <c r="A10673" t="str">
        <f>T("   080820")</f>
        <v xml:space="preserve">   080820</v>
      </c>
      <c r="B10673" t="str">
        <f>T("   Poires et coings, frais")</f>
        <v xml:space="preserve">   Poires et coings, frais</v>
      </c>
      <c r="C10673">
        <v>999683</v>
      </c>
      <c r="D10673">
        <v>2800</v>
      </c>
    </row>
    <row r="10674" spans="1:4" x14ac:dyDescent="0.25">
      <c r="A10674" t="str">
        <f>T("   620590")</f>
        <v xml:space="preserve">   620590</v>
      </c>
      <c r="B1067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674">
        <v>700000</v>
      </c>
      <c r="D10674">
        <v>900</v>
      </c>
    </row>
    <row r="10675" spans="1:4" x14ac:dyDescent="0.25">
      <c r="A10675" t="str">
        <f>T("   731100")</f>
        <v xml:space="preserve">   731100</v>
      </c>
      <c r="B1067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675">
        <v>45367360</v>
      </c>
      <c r="D10675">
        <v>24445</v>
      </c>
    </row>
    <row r="10676" spans="1:4" x14ac:dyDescent="0.25">
      <c r="A10676" t="str">
        <f>T("   732394")</f>
        <v xml:space="preserve">   732394</v>
      </c>
      <c r="B10676" t="s">
        <v>389</v>
      </c>
      <c r="C10676">
        <v>300000</v>
      </c>
      <c r="D10676">
        <v>478</v>
      </c>
    </row>
    <row r="10677" spans="1:4" x14ac:dyDescent="0.25">
      <c r="A10677" t="str">
        <f>T("   843049")</f>
        <v xml:space="preserve">   843049</v>
      </c>
      <c r="B10677"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0677">
        <v>27259806</v>
      </c>
      <c r="D10677">
        <v>164</v>
      </c>
    </row>
    <row r="10678" spans="1:4" x14ac:dyDescent="0.25">
      <c r="A10678" t="str">
        <f>T("   940350")</f>
        <v xml:space="preserve">   940350</v>
      </c>
      <c r="B10678" t="str">
        <f>T("   Meubles pour chambres à coucher, en bois (sauf sièges)")</f>
        <v xml:space="preserve">   Meubles pour chambres à coucher, en bois (sauf sièges)</v>
      </c>
      <c r="C10678">
        <v>1500000</v>
      </c>
      <c r="D10678">
        <v>1800</v>
      </c>
    </row>
    <row r="10679" spans="1:4" x14ac:dyDescent="0.25">
      <c r="A10679" t="str">
        <f>T("UA")</f>
        <v>UA</v>
      </c>
      <c r="B10679" t="str">
        <f>T("Ukraine")</f>
        <v>Ukraine</v>
      </c>
    </row>
    <row r="10680" spans="1:4" x14ac:dyDescent="0.25">
      <c r="A10680" t="str">
        <f>T("   ZZ_Total_Produit_SH6")</f>
        <v xml:space="preserve">   ZZ_Total_Produit_SH6</v>
      </c>
      <c r="B10680" t="str">
        <f>T("   ZZ_Total_Produit_SH6")</f>
        <v xml:space="preserve">   ZZ_Total_Produit_SH6</v>
      </c>
      <c r="C10680">
        <v>2741995536.494</v>
      </c>
      <c r="D10680">
        <v>6251259.5</v>
      </c>
    </row>
    <row r="10681" spans="1:4" x14ac:dyDescent="0.25">
      <c r="A10681" t="str">
        <f>T("   110100")</f>
        <v xml:space="preserve">   110100</v>
      </c>
      <c r="B10681" t="str">
        <f>T("   Farines de froment [blé] ou de méteil")</f>
        <v xml:space="preserve">   Farines de froment [blé] ou de méteil</v>
      </c>
      <c r="C10681">
        <v>97193513.494000003</v>
      </c>
      <c r="D10681">
        <v>361646</v>
      </c>
    </row>
    <row r="10682" spans="1:4" x14ac:dyDescent="0.25">
      <c r="A10682" t="str">
        <f>T("   300440")</f>
        <v xml:space="preserve">   300440</v>
      </c>
      <c r="B10682" t="s">
        <v>82</v>
      </c>
      <c r="C10682">
        <v>732071</v>
      </c>
      <c r="D10682">
        <v>2</v>
      </c>
    </row>
    <row r="10683" spans="1:4" x14ac:dyDescent="0.25">
      <c r="A10683" t="str">
        <f>T("   350510")</f>
        <v xml:space="preserve">   350510</v>
      </c>
      <c r="B10683" t="str">
        <f>T("   DEXTRINE ET AUTRES AMIDONS ET FÉCULES MODIFIÉS [LES AMIDONS ET FÉCULES PRÉ-GÉLATINISÉS OU ESTÉRIFIÉS, P.EX.]")</f>
        <v xml:space="preserve">   DEXTRINE ET AUTRES AMIDONS ET FÉCULES MODIFIÉS [LES AMIDONS ET FÉCULES PRÉ-GÉLATINISÉS OU ESTÉRIFIÉS, P.EX.]</v>
      </c>
      <c r="C10683">
        <v>1189281</v>
      </c>
      <c r="D10683">
        <v>219</v>
      </c>
    </row>
    <row r="10684" spans="1:4" x14ac:dyDescent="0.25">
      <c r="A10684" t="str">
        <f>T("   420299")</f>
        <v xml:space="preserve">   420299</v>
      </c>
      <c r="B10684" t="s">
        <v>174</v>
      </c>
      <c r="C10684">
        <v>538895</v>
      </c>
      <c r="D10684">
        <v>5</v>
      </c>
    </row>
    <row r="10685" spans="1:4" x14ac:dyDescent="0.25">
      <c r="A10685" t="str">
        <f>T("   491110")</f>
        <v xml:space="preserve">   491110</v>
      </c>
      <c r="B10685" t="str">
        <f>T("   Imprimés publicitaires, catalogues commerciaux et simil.")</f>
        <v xml:space="preserve">   Imprimés publicitaires, catalogues commerciaux et simil.</v>
      </c>
      <c r="C10685">
        <v>2367738</v>
      </c>
      <c r="D10685">
        <v>343</v>
      </c>
    </row>
    <row r="10686" spans="1:4" x14ac:dyDescent="0.25">
      <c r="A10686" t="str">
        <f>T("   531090")</f>
        <v xml:space="preserve">   531090</v>
      </c>
      <c r="B10686"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10686">
        <v>17372909</v>
      </c>
      <c r="D10686">
        <v>818</v>
      </c>
    </row>
    <row r="10687" spans="1:4" x14ac:dyDescent="0.25">
      <c r="A10687" t="str">
        <f>T("   610990")</f>
        <v xml:space="preserve">   610990</v>
      </c>
      <c r="B10687" t="str">
        <f>T("   T-shirts et maillots de corps, en bonneterie, de matières textiles (sauf de coton)")</f>
        <v xml:space="preserve">   T-shirts et maillots de corps, en bonneterie, de matières textiles (sauf de coton)</v>
      </c>
      <c r="C10687">
        <v>7401218</v>
      </c>
      <c r="D10687">
        <v>400</v>
      </c>
    </row>
    <row r="10688" spans="1:4" x14ac:dyDescent="0.25">
      <c r="A10688" t="str">
        <f>T("   720917")</f>
        <v xml:space="preserve">   720917</v>
      </c>
      <c r="B10688"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0688">
        <v>190007342</v>
      </c>
      <c r="D10688">
        <v>611810</v>
      </c>
    </row>
    <row r="10689" spans="1:4" x14ac:dyDescent="0.25">
      <c r="A10689" t="str">
        <f>T("   721391")</f>
        <v xml:space="preserve">   721391</v>
      </c>
      <c r="B1068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689">
        <v>1604517845</v>
      </c>
      <c r="D10689">
        <v>5262400</v>
      </c>
    </row>
    <row r="10690" spans="1:4" x14ac:dyDescent="0.25">
      <c r="A10690" t="str">
        <f>T("   732399")</f>
        <v xml:space="preserve">   732399</v>
      </c>
      <c r="B10690" t="s">
        <v>390</v>
      </c>
      <c r="C10690">
        <v>1763050</v>
      </c>
      <c r="D10690">
        <v>10250</v>
      </c>
    </row>
    <row r="10691" spans="1:4" x14ac:dyDescent="0.25">
      <c r="A10691" t="str">
        <f>T("   843143")</f>
        <v xml:space="preserve">   843143</v>
      </c>
      <c r="B10691" t="str">
        <f>T("   Parties de machines de sondage ou de forage du n° 8430.41 ou 8430.49, n.d.a.")</f>
        <v xml:space="preserve">   Parties de machines de sondage ou de forage du n° 8430.41 ou 8430.49, n.d.a.</v>
      </c>
      <c r="C10691">
        <v>531753</v>
      </c>
      <c r="D10691">
        <v>2</v>
      </c>
    </row>
    <row r="10692" spans="1:4" x14ac:dyDescent="0.25">
      <c r="A10692" t="str">
        <f>T("   846190")</f>
        <v xml:space="preserve">   846190</v>
      </c>
      <c r="B10692" t="str">
        <f>T("   Machines à raboter et autres machines-outils travaillant par enlèvement de métal, n.d.a.")</f>
        <v xml:space="preserve">   Machines à raboter et autres machines-outils travaillant par enlèvement de métal, n.d.a.</v>
      </c>
      <c r="C10692">
        <v>129740</v>
      </c>
      <c r="D10692">
        <v>20</v>
      </c>
    </row>
    <row r="10693" spans="1:4" x14ac:dyDescent="0.25">
      <c r="A10693" t="str">
        <f>T("   850610")</f>
        <v xml:space="preserve">   850610</v>
      </c>
      <c r="B10693" t="str">
        <f>T("   Piles et batteries de piles électriques, au bioxyde de manganèse (sauf hors d'usage)")</f>
        <v xml:space="preserve">   Piles et batteries de piles électriques, au bioxyde de manganèse (sauf hors d'usage)</v>
      </c>
      <c r="C10693">
        <v>18273989</v>
      </c>
      <c r="D10693">
        <v>3250</v>
      </c>
    </row>
    <row r="10694" spans="1:4" x14ac:dyDescent="0.25">
      <c r="A10694" t="str">
        <f>T("   850780")</f>
        <v xml:space="preserve">   850780</v>
      </c>
      <c r="B10694" t="str">
        <f>T("   Accumulateurs électriques (sauf hors d'usage et autres qu'au plomb, au nickel-cadmium ou au nickel-fer)")</f>
        <v xml:space="preserve">   Accumulateurs électriques (sauf hors d'usage et autres qu'au plomb, au nickel-cadmium ou au nickel-fer)</v>
      </c>
      <c r="C10694">
        <v>8669466</v>
      </c>
      <c r="D10694">
        <v>4</v>
      </c>
    </row>
    <row r="10695" spans="1:4" x14ac:dyDescent="0.25">
      <c r="A10695" t="str">
        <f>T("   854420")</f>
        <v xml:space="preserve">   854420</v>
      </c>
      <c r="B10695" t="str">
        <f>T("   Câbles coaxiaux et autres conducteurs électriques coaxiaux, isolés")</f>
        <v xml:space="preserve">   Câbles coaxiaux et autres conducteurs électriques coaxiaux, isolés</v>
      </c>
      <c r="C10695">
        <v>499186</v>
      </c>
      <c r="D10695">
        <v>7.5</v>
      </c>
    </row>
    <row r="10696" spans="1:4" x14ac:dyDescent="0.25">
      <c r="A10696" t="str">
        <f>T("   880330")</f>
        <v xml:space="preserve">   880330</v>
      </c>
      <c r="B10696" t="str">
        <f>T("   Parties d'avions ou d'hélicoptères, n.d.a. (sauf planeurs)")</f>
        <v xml:space="preserve">   Parties d'avions ou d'hélicoptères, n.d.a. (sauf planeurs)</v>
      </c>
      <c r="C10696">
        <v>787514490</v>
      </c>
      <c r="D10696">
        <v>11</v>
      </c>
    </row>
    <row r="10697" spans="1:4" x14ac:dyDescent="0.25">
      <c r="A10697" t="str">
        <f>T("   903300")</f>
        <v xml:space="preserve">   903300</v>
      </c>
      <c r="B10697"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10697">
        <v>3293050</v>
      </c>
      <c r="D10697">
        <v>72</v>
      </c>
    </row>
    <row r="10698" spans="1:4" x14ac:dyDescent="0.25">
      <c r="A10698" t="str">
        <f>T("UG")</f>
        <v>UG</v>
      </c>
      <c r="B10698" t="str">
        <f>T("Ouganda")</f>
        <v>Ouganda</v>
      </c>
    </row>
    <row r="10699" spans="1:4" x14ac:dyDescent="0.25">
      <c r="A10699" t="str">
        <f>T("   ZZ_Total_Produit_SH6")</f>
        <v xml:space="preserve">   ZZ_Total_Produit_SH6</v>
      </c>
      <c r="B10699" t="str">
        <f>T("   ZZ_Total_Produit_SH6")</f>
        <v xml:space="preserve">   ZZ_Total_Produit_SH6</v>
      </c>
      <c r="C10699">
        <v>22560749</v>
      </c>
      <c r="D10699">
        <v>1803.3</v>
      </c>
    </row>
    <row r="10700" spans="1:4" x14ac:dyDescent="0.25">
      <c r="A10700" t="str">
        <f>T("   521212")</f>
        <v xml:space="preserve">   521212</v>
      </c>
      <c r="B10700" t="str">
        <f>T("   Tissus de coton, blanchis, contenant en prédominance, mais &lt; 85% en poids de coton, autres que mélangés principalement ou uniquement avec des fibres synthétiques ou artificielles, d'un poids &lt;= 200 g/m²")</f>
        <v xml:space="preserve">   Tissus de coton, blanchis, contenant en prédominance, mais &lt; 85% en poids de coton, autres que mélangés principalement ou uniquement avec des fibres synthétiques ou artificielles, d'un poids &lt;= 200 g/m²</v>
      </c>
      <c r="C10700">
        <v>102945</v>
      </c>
      <c r="D10700">
        <v>138</v>
      </c>
    </row>
    <row r="10701" spans="1:4" x14ac:dyDescent="0.25">
      <c r="A10701" t="str">
        <f>T("   581091")</f>
        <v xml:space="preserve">   581091</v>
      </c>
      <c r="B10701"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10701">
        <v>480000</v>
      </c>
      <c r="D10701">
        <v>270</v>
      </c>
    </row>
    <row r="10702" spans="1:4" x14ac:dyDescent="0.25">
      <c r="A10702" t="str">
        <f>T("   620349")</f>
        <v xml:space="preserve">   620349</v>
      </c>
      <c r="B10702" t="s">
        <v>289</v>
      </c>
      <c r="C10702">
        <v>100000</v>
      </c>
      <c r="D10702">
        <v>42</v>
      </c>
    </row>
    <row r="10703" spans="1:4" x14ac:dyDescent="0.25">
      <c r="A10703" t="str">
        <f>T("   621040")</f>
        <v xml:space="preserve">   621040</v>
      </c>
      <c r="B10703" t="s">
        <v>294</v>
      </c>
      <c r="C10703">
        <v>450000</v>
      </c>
      <c r="D10703">
        <v>96</v>
      </c>
    </row>
    <row r="10704" spans="1:4" x14ac:dyDescent="0.25">
      <c r="A10704" t="str">
        <f>T("   630239")</f>
        <v xml:space="preserve">   630239</v>
      </c>
      <c r="B10704"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10704">
        <v>1124747</v>
      </c>
      <c r="D10704">
        <v>670</v>
      </c>
    </row>
    <row r="10705" spans="1:4" x14ac:dyDescent="0.25">
      <c r="A10705" t="str">
        <f>T("   731819")</f>
        <v xml:space="preserve">   731819</v>
      </c>
      <c r="B10705" t="str">
        <f>T("   Articles de boulonnerie et de visserie, filetés, en fonte, fer ou acier, n.d.a.")</f>
        <v xml:space="preserve">   Articles de boulonnerie et de visserie, filetés, en fonte, fer ou acier, n.d.a.</v>
      </c>
      <c r="C10705">
        <v>50000</v>
      </c>
      <c r="D10705">
        <v>90</v>
      </c>
    </row>
    <row r="10706" spans="1:4" x14ac:dyDescent="0.25">
      <c r="A10706" t="str">
        <f>T("   846729")</f>
        <v xml:space="preserve">   846729</v>
      </c>
      <c r="B10706" t="str">
        <f>T("   Outils électromécaniques à moteur électrique incorporé, pour emploi à la main (autres que scies et perceuses)")</f>
        <v xml:space="preserve">   Outils électromécaniques à moteur électrique incorporé, pour emploi à la main (autres que scies et perceuses)</v>
      </c>
      <c r="C10706">
        <v>793139</v>
      </c>
      <c r="D10706">
        <v>26</v>
      </c>
    </row>
    <row r="10707" spans="1:4" x14ac:dyDescent="0.25">
      <c r="A10707" t="str">
        <f>T("   846789")</f>
        <v xml:space="preserve">   846789</v>
      </c>
      <c r="B10707"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10707">
        <v>50000</v>
      </c>
      <c r="D10707">
        <v>56</v>
      </c>
    </row>
    <row r="10708" spans="1:4" x14ac:dyDescent="0.25">
      <c r="A10708" t="str">
        <f>T("   851769")</f>
        <v xml:space="preserve">   851769</v>
      </c>
      <c r="B10708" t="s">
        <v>481</v>
      </c>
      <c r="C10708">
        <v>877183</v>
      </c>
      <c r="D10708">
        <v>18.3</v>
      </c>
    </row>
    <row r="10709" spans="1:4" x14ac:dyDescent="0.25">
      <c r="A10709" t="str">
        <f>T("   852329")</f>
        <v xml:space="preserve">   852329</v>
      </c>
      <c r="B10709" t="str">
        <f>T("   SUPPORTS MAGNÉTIQUES POUR L'ENREGISTREMENT DU SON OU POUR ENREGISTREMENTS ANALOGUES (À L'EXCL. DES CARTES MUNIES D'UNE PISTE MAGNÉTIQUE AINSI QUE DES PRODUITS DU CHAPITRE 37)")</f>
        <v xml:space="preserve">   SUPPORTS MAGNÉTIQUES POUR L'ENREGISTREMENT DU SON OU POUR ENREGISTREMENTS ANALOGUES (À L'EXCL. DES CARTES MUNIES D'UNE PISTE MAGNÉTIQUE AINSI QUE DES PRODUITS DU CHAPITRE 37)</v>
      </c>
      <c r="C10709">
        <v>18366880</v>
      </c>
      <c r="D10709">
        <v>392</v>
      </c>
    </row>
    <row r="10710" spans="1:4" x14ac:dyDescent="0.25">
      <c r="A10710" t="str">
        <f>T("   902300")</f>
        <v xml:space="preserve">   902300</v>
      </c>
      <c r="B10710" t="s">
        <v>530</v>
      </c>
      <c r="C10710">
        <v>165855</v>
      </c>
      <c r="D10710">
        <v>5</v>
      </c>
    </row>
    <row r="10711" spans="1:4" x14ac:dyDescent="0.25">
      <c r="A10711" t="str">
        <f>T("UM")</f>
        <v>UM</v>
      </c>
      <c r="B10711" t="str">
        <f>T("îles mineures éloignées(Etats-Unis)")</f>
        <v>îles mineures éloignées(Etats-Unis)</v>
      </c>
    </row>
    <row r="10712" spans="1:4" x14ac:dyDescent="0.25">
      <c r="A10712" t="str">
        <f>T("   ZZ_Total_Produit_SH6")</f>
        <v xml:space="preserve">   ZZ_Total_Produit_SH6</v>
      </c>
      <c r="B10712" t="str">
        <f>T("   ZZ_Total_Produit_SH6")</f>
        <v xml:space="preserve">   ZZ_Total_Produit_SH6</v>
      </c>
      <c r="C10712">
        <v>128578170</v>
      </c>
      <c r="D10712">
        <v>4781.1000000000004</v>
      </c>
    </row>
    <row r="10713" spans="1:4" x14ac:dyDescent="0.25">
      <c r="A10713" t="str">
        <f>T("   330300")</f>
        <v xml:space="preserve">   330300</v>
      </c>
      <c r="B10713"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713">
        <v>3275746</v>
      </c>
      <c r="D10713">
        <v>102</v>
      </c>
    </row>
    <row r="10714" spans="1:4" x14ac:dyDescent="0.25">
      <c r="A10714" t="str">
        <f>T("   420211")</f>
        <v xml:space="preserve">   420211</v>
      </c>
      <c r="B10714"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0714">
        <v>159589</v>
      </c>
      <c r="D10714">
        <v>1</v>
      </c>
    </row>
    <row r="10715" spans="1:4" x14ac:dyDescent="0.25">
      <c r="A10715" t="str">
        <f>T("   491199")</f>
        <v xml:space="preserve">   491199</v>
      </c>
      <c r="B10715" t="str">
        <f>T("   Imprimés, n.d.a.")</f>
        <v xml:space="preserve">   Imprimés, n.d.a.</v>
      </c>
      <c r="C10715">
        <v>16848907</v>
      </c>
      <c r="D10715">
        <v>1830</v>
      </c>
    </row>
    <row r="10716" spans="1:4" x14ac:dyDescent="0.25">
      <c r="A10716" t="str">
        <f>T("   531090")</f>
        <v xml:space="preserve">   531090</v>
      </c>
      <c r="B10716" t="str">
        <f>T("   Tissus de jute ou d'autres fibres textiles libériennes du n° 5303, blanchis, teints, en fils de diverses couleurs ou imprimés")</f>
        <v xml:space="preserve">   Tissus de jute ou d'autres fibres textiles libériennes du n° 5303, blanchis, teints, en fils de diverses couleurs ou imprimés</v>
      </c>
      <c r="C10716">
        <v>17372909</v>
      </c>
      <c r="D10716">
        <v>818</v>
      </c>
    </row>
    <row r="10717" spans="1:4" x14ac:dyDescent="0.25">
      <c r="A10717" t="str">
        <f>T("   540720")</f>
        <v xml:space="preserve">   540720</v>
      </c>
      <c r="B10717" t="str">
        <f>T("   TISSUS OBTENUS À PARTIR DE LAMES OU FORMES SIMIL., Y.C. CELLES DU N° 5404 [01/01/1988-31/12/1988: TISSUS DE LAMES OU FORMES SIMILAIRES DU 5404]")</f>
        <v xml:space="preserve">   TISSUS OBTENUS À PARTIR DE LAMES OU FORMES SIMIL., Y.C. CELLES DU N° 5404 [01/01/1988-31/12/1988: TISSUS DE LAMES OU FORMES SIMILAIRES DU 5404]</v>
      </c>
      <c r="C10717">
        <v>17372909</v>
      </c>
      <c r="D10717">
        <v>818</v>
      </c>
    </row>
    <row r="10718" spans="1:4" x14ac:dyDescent="0.25">
      <c r="A10718" t="str">
        <f>T("   730300")</f>
        <v xml:space="preserve">   730300</v>
      </c>
      <c r="B10718" t="str">
        <f>T("   Tubes, tuyaux et profilés creux, en fonte")</f>
        <v xml:space="preserve">   Tubes, tuyaux et profilés creux, en fonte</v>
      </c>
      <c r="C10718">
        <v>4957836</v>
      </c>
      <c r="D10718">
        <v>690</v>
      </c>
    </row>
    <row r="10719" spans="1:4" x14ac:dyDescent="0.25">
      <c r="A10719" t="str">
        <f>T("   840910")</f>
        <v xml:space="preserve">   840910</v>
      </c>
      <c r="B10719" t="str">
        <f>T("   Parties reconnaissables comme étant exclusivement ou principalement destinées aux moteurs à piston pour l'aviation, n.d.a.")</f>
        <v xml:space="preserve">   Parties reconnaissables comme étant exclusivement ou principalement destinées aux moteurs à piston pour l'aviation, n.d.a.</v>
      </c>
      <c r="C10719">
        <v>1071055</v>
      </c>
      <c r="D10719">
        <v>0.7</v>
      </c>
    </row>
    <row r="10720" spans="1:4" x14ac:dyDescent="0.25">
      <c r="A10720" t="str">
        <f>T("   841490")</f>
        <v xml:space="preserve">   841490</v>
      </c>
      <c r="B10720"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10720">
        <v>3274704</v>
      </c>
      <c r="D10720">
        <v>7</v>
      </c>
    </row>
    <row r="10721" spans="1:4" x14ac:dyDescent="0.25">
      <c r="A10721" t="str">
        <f>T("   851220")</f>
        <v xml:space="preserve">   851220</v>
      </c>
      <c r="B10721" t="str">
        <f>T("   Appareils électriques d'éclairage ou de signalisation visuelle, pour automobiles (à l'excl. des lampes du n° 8539)")</f>
        <v xml:space="preserve">   Appareils électriques d'éclairage ou de signalisation visuelle, pour automobiles (à l'excl. des lampes du n° 8539)</v>
      </c>
      <c r="C10721">
        <v>2117744</v>
      </c>
      <c r="D10721">
        <v>1</v>
      </c>
    </row>
    <row r="10722" spans="1:4" x14ac:dyDescent="0.25">
      <c r="A10722" t="str">
        <f>T("   851769")</f>
        <v xml:space="preserve">   851769</v>
      </c>
      <c r="B10722" t="s">
        <v>481</v>
      </c>
      <c r="C10722">
        <v>11248845</v>
      </c>
      <c r="D10722">
        <v>330.4</v>
      </c>
    </row>
    <row r="10723" spans="1:4" x14ac:dyDescent="0.25">
      <c r="A10723" t="str">
        <f>T("   880330")</f>
        <v xml:space="preserve">   880330</v>
      </c>
      <c r="B10723" t="str">
        <f>T("   Parties d'avions ou d'hélicoptères, n.d.a. (sauf planeurs)")</f>
        <v xml:space="preserve">   Parties d'avions ou d'hélicoptères, n.d.a. (sauf planeurs)</v>
      </c>
      <c r="C10723">
        <v>35401177</v>
      </c>
      <c r="D10723">
        <v>100</v>
      </c>
    </row>
    <row r="10724" spans="1:4" x14ac:dyDescent="0.25">
      <c r="A10724" t="str">
        <f>T("   880390")</f>
        <v xml:space="preserve">   880390</v>
      </c>
      <c r="B10724" t="str">
        <f>T("   Parties des véhicules aériens et spatiaux, n.d.a.")</f>
        <v xml:space="preserve">   Parties des véhicules aériens et spatiaux, n.d.a.</v>
      </c>
      <c r="C10724">
        <v>11823073</v>
      </c>
      <c r="D10724">
        <v>1</v>
      </c>
    </row>
    <row r="10725" spans="1:4" x14ac:dyDescent="0.25">
      <c r="A10725" t="str">
        <f>T("   902620")</f>
        <v xml:space="preserve">   902620</v>
      </c>
      <c r="B10725"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725">
        <v>3653676</v>
      </c>
      <c r="D10725">
        <v>82</v>
      </c>
    </row>
    <row r="10726" spans="1:4" x14ac:dyDescent="0.25">
      <c r="A10726" t="str">
        <f>T("US")</f>
        <v>US</v>
      </c>
      <c r="B10726" t="str">
        <f>T("Etats-Unis")</f>
        <v>Etats-Unis</v>
      </c>
    </row>
    <row r="10727" spans="1:4" x14ac:dyDescent="0.25">
      <c r="A10727" t="str">
        <f>T("   ZZ_Total_Produit_SH6")</f>
        <v xml:space="preserve">   ZZ_Total_Produit_SH6</v>
      </c>
      <c r="B10727" t="str">
        <f>T("   ZZ_Total_Produit_SH6")</f>
        <v xml:space="preserve">   ZZ_Total_Produit_SH6</v>
      </c>
      <c r="C10727">
        <v>517372341713.97601</v>
      </c>
      <c r="D10727">
        <v>118471025.40000001</v>
      </c>
    </row>
    <row r="10728" spans="1:4" x14ac:dyDescent="0.25">
      <c r="A10728" t="str">
        <f>T("   020712")</f>
        <v xml:space="preserve">   020712</v>
      </c>
      <c r="B10728" t="str">
        <f>T("   COQS ET POULES [DES ESPÈCES DOMESTIQUES], NON-DÉCOUPÉS EN MORCEAUX, CONGELÉS")</f>
        <v xml:space="preserve">   COQS ET POULES [DES ESPÈCES DOMESTIQUES], NON-DÉCOUPÉS EN MORCEAUX, CONGELÉS</v>
      </c>
      <c r="C10728">
        <v>295451128</v>
      </c>
      <c r="D10728">
        <v>478050</v>
      </c>
    </row>
    <row r="10729" spans="1:4" x14ac:dyDescent="0.25">
      <c r="A10729" t="str">
        <f>T("   020713")</f>
        <v xml:space="preserve">   020713</v>
      </c>
      <c r="B10729" t="str">
        <f>T("   Morceaux et abats comestibles de coqs et de poules [des espèces domestiques], frais ou réfrigérés")</f>
        <v xml:space="preserve">   Morceaux et abats comestibles de coqs et de poules [des espèces domestiques], frais ou réfrigérés</v>
      </c>
      <c r="C10729">
        <v>15550188</v>
      </c>
      <c r="D10729">
        <v>27000</v>
      </c>
    </row>
    <row r="10730" spans="1:4" x14ac:dyDescent="0.25">
      <c r="A10730" t="str">
        <f>T("   020714")</f>
        <v xml:space="preserve">   020714</v>
      </c>
      <c r="B10730" t="str">
        <f>T("   Morceaux et abats comestibles de coqs et de poules [des espèces domestiques], congelés")</f>
        <v xml:space="preserve">   Morceaux et abats comestibles de coqs et de poules [des espèces domestiques], congelés</v>
      </c>
      <c r="C10730">
        <v>1433282237</v>
      </c>
      <c r="D10730">
        <v>2317645</v>
      </c>
    </row>
    <row r="10731" spans="1:4" x14ac:dyDescent="0.25">
      <c r="A10731" t="str">
        <f>T("   020724")</f>
        <v xml:space="preserve">   020724</v>
      </c>
      <c r="B10731" t="str">
        <f>T("   DINDES ET DINDONS [DES ESPÈCES DOMESTIQUES], NON-DÉCOUPÉES EN MORCEAUX, FRAIS OU RÉFRIGÉRÉS")</f>
        <v xml:space="preserve">   DINDES ET DINDONS [DES ESPÈCES DOMESTIQUES], NON-DÉCOUPÉES EN MORCEAUX, FRAIS OU RÉFRIGÉRÉS</v>
      </c>
      <c r="C10731">
        <v>15550188</v>
      </c>
      <c r="D10731">
        <v>27180</v>
      </c>
    </row>
    <row r="10732" spans="1:4" x14ac:dyDescent="0.25">
      <c r="A10732" t="str">
        <f>T("   020726")</f>
        <v xml:space="preserve">   020726</v>
      </c>
      <c r="B10732" t="str">
        <f>T("   Morceaux et abats comestibles de dindes et dindons [des espèces domestiques], frais ou réfrigérés")</f>
        <v xml:space="preserve">   Morceaux et abats comestibles de dindes et dindons [des espèces domestiques], frais ou réfrigérés</v>
      </c>
      <c r="C10732">
        <v>15550188</v>
      </c>
      <c r="D10732">
        <v>25000</v>
      </c>
    </row>
    <row r="10733" spans="1:4" x14ac:dyDescent="0.25">
      <c r="A10733" t="str">
        <f>T("   020727")</f>
        <v xml:space="preserve">   020727</v>
      </c>
      <c r="B10733" t="str">
        <f>T("   Morceaux et abats comestibles de dindes et dindons [des espèces domestiques], congelés")</f>
        <v xml:space="preserve">   Morceaux et abats comestibles de dindes et dindons [des espèces domestiques], congelés</v>
      </c>
      <c r="C10733">
        <v>2617049678</v>
      </c>
      <c r="D10733">
        <v>4156857</v>
      </c>
    </row>
    <row r="10734" spans="1:4" x14ac:dyDescent="0.25">
      <c r="A10734" t="str">
        <f>T("   030379")</f>
        <v xml:space="preserve">   030379</v>
      </c>
      <c r="B10734" t="s">
        <v>16</v>
      </c>
      <c r="C10734">
        <v>138600000</v>
      </c>
      <c r="D10734">
        <v>616000</v>
      </c>
    </row>
    <row r="10735" spans="1:4" x14ac:dyDescent="0.25">
      <c r="A10735" t="str">
        <f>T("   050400")</f>
        <v xml:space="preserve">   050400</v>
      </c>
      <c r="B10735"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0735">
        <v>1525356161</v>
      </c>
      <c r="D10735">
        <v>1265743</v>
      </c>
    </row>
    <row r="10736" spans="1:4" x14ac:dyDescent="0.25">
      <c r="A10736" t="str">
        <f>T("   100590")</f>
        <v xml:space="preserve">   100590</v>
      </c>
      <c r="B10736" t="str">
        <f>T("   Maïs (autre que de semence)")</f>
        <v xml:space="preserve">   Maïs (autre que de semence)</v>
      </c>
      <c r="C10736">
        <v>53264286</v>
      </c>
      <c r="D10736">
        <v>102408</v>
      </c>
    </row>
    <row r="10737" spans="1:4" x14ac:dyDescent="0.25">
      <c r="A10737" t="str">
        <f>T("   100630")</f>
        <v xml:space="preserve">   100630</v>
      </c>
      <c r="B10737" t="str">
        <f>T("   Riz semi-blanchi ou blanchi, même poli ou glacé")</f>
        <v xml:space="preserve">   Riz semi-blanchi ou blanchi, même poli ou glacé</v>
      </c>
      <c r="C10737">
        <v>7950</v>
      </c>
      <c r="D10737">
        <v>53</v>
      </c>
    </row>
    <row r="10738" spans="1:4" x14ac:dyDescent="0.25">
      <c r="A10738" t="str">
        <f>T("   110100")</f>
        <v xml:space="preserve">   110100</v>
      </c>
      <c r="B10738" t="str">
        <f>T("   Farines de froment [blé] ou de méteil")</f>
        <v xml:space="preserve">   Farines de froment [blé] ou de méteil</v>
      </c>
      <c r="C10738">
        <v>64658829.976000004</v>
      </c>
      <c r="D10738">
        <v>240000</v>
      </c>
    </row>
    <row r="10739" spans="1:4" x14ac:dyDescent="0.25">
      <c r="A10739" t="str">
        <f>T("   160100")</f>
        <v xml:space="preserve">   160100</v>
      </c>
      <c r="B10739" t="str">
        <f>T("   Saucisses, saucissons et produits simil., de viande, d'abats ou de sang; préparations alimentaires à base de ces produits")</f>
        <v xml:space="preserve">   Saucisses, saucissons et produits simil., de viande, d'abats ou de sang; préparations alimentaires à base de ces produits</v>
      </c>
      <c r="C10739">
        <v>16332476</v>
      </c>
      <c r="D10739">
        <v>26258</v>
      </c>
    </row>
    <row r="10740" spans="1:4" x14ac:dyDescent="0.25">
      <c r="A10740" t="str">
        <f>T("   170490")</f>
        <v xml:space="preserve">   170490</v>
      </c>
      <c r="B10740" t="str">
        <f>T("   Sucreries sans cacao, y.c. le chocolat blanc (à l'excl. des gommes à mâcher)")</f>
        <v xml:space="preserve">   Sucreries sans cacao, y.c. le chocolat blanc (à l'excl. des gommes à mâcher)</v>
      </c>
      <c r="C10740">
        <v>97869145</v>
      </c>
      <c r="D10740">
        <v>392544</v>
      </c>
    </row>
    <row r="10741" spans="1:4" x14ac:dyDescent="0.25">
      <c r="A10741" t="str">
        <f>T("   180690")</f>
        <v xml:space="preserve">   180690</v>
      </c>
      <c r="B1074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741">
        <v>12823677</v>
      </c>
      <c r="D10741">
        <v>48310</v>
      </c>
    </row>
    <row r="10742" spans="1:4" x14ac:dyDescent="0.25">
      <c r="A10742" t="str">
        <f>T("   190531")</f>
        <v xml:space="preserve">   190531</v>
      </c>
      <c r="B10742" t="str">
        <f>T("   Biscuits additionnés d'édulcorants")</f>
        <v xml:space="preserve">   Biscuits additionnés d'édulcorants</v>
      </c>
      <c r="C10742">
        <v>135679230</v>
      </c>
      <c r="D10742">
        <v>527932</v>
      </c>
    </row>
    <row r="10743" spans="1:4" x14ac:dyDescent="0.25">
      <c r="A10743" t="str">
        <f>T("   200980")</f>
        <v xml:space="preserve">   200980</v>
      </c>
      <c r="B1074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743">
        <v>1200000</v>
      </c>
      <c r="D10743">
        <v>10000</v>
      </c>
    </row>
    <row r="10744" spans="1:4" x14ac:dyDescent="0.25">
      <c r="A10744" t="str">
        <f>T("   200990")</f>
        <v xml:space="preserve">   200990</v>
      </c>
      <c r="B1074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744">
        <v>20000</v>
      </c>
      <c r="D10744">
        <v>10</v>
      </c>
    </row>
    <row r="10745" spans="1:4" x14ac:dyDescent="0.25">
      <c r="A10745" t="str">
        <f>T("   210230")</f>
        <v xml:space="preserve">   210230</v>
      </c>
      <c r="B10745" t="str">
        <f>T("   Poudres à lever préparées")</f>
        <v xml:space="preserve">   Poudres à lever préparées</v>
      </c>
      <c r="C10745">
        <v>34848</v>
      </c>
      <c r="D10745">
        <v>5</v>
      </c>
    </row>
    <row r="10746" spans="1:4" x14ac:dyDescent="0.25">
      <c r="A10746" t="str">
        <f>T("   210390")</f>
        <v xml:space="preserve">   210390</v>
      </c>
      <c r="B1074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746">
        <v>48625193</v>
      </c>
      <c r="D10746">
        <v>77454</v>
      </c>
    </row>
    <row r="10747" spans="1:4" x14ac:dyDescent="0.25">
      <c r="A10747" t="str">
        <f>T("   210690")</f>
        <v xml:space="preserve">   210690</v>
      </c>
      <c r="B10747" t="str">
        <f>T("   Préparations alimentaires, n.d.a.")</f>
        <v xml:space="preserve">   Préparations alimentaires, n.d.a.</v>
      </c>
      <c r="C10747">
        <v>6483000</v>
      </c>
      <c r="D10747">
        <v>200</v>
      </c>
    </row>
    <row r="10748" spans="1:4" x14ac:dyDescent="0.25">
      <c r="A10748" t="str">
        <f>T("   220110")</f>
        <v xml:space="preserve">   220110</v>
      </c>
      <c r="B10748" t="str">
        <f>T("   Eaux minérales et eaux gazéifiées, non additionnées de sucre ou d'autres édulcorants ni aromatisées")</f>
        <v xml:space="preserve">   Eaux minérales et eaux gazéifiées, non additionnées de sucre ou d'autres édulcorants ni aromatisées</v>
      </c>
      <c r="C10748">
        <v>2248652</v>
      </c>
      <c r="D10748">
        <v>19186</v>
      </c>
    </row>
    <row r="10749" spans="1:4" x14ac:dyDescent="0.25">
      <c r="A10749" t="str">
        <f>T("   220210")</f>
        <v xml:space="preserve">   220210</v>
      </c>
      <c r="B1074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749">
        <v>3196492</v>
      </c>
      <c r="D10749">
        <v>19958</v>
      </c>
    </row>
    <row r="10750" spans="1:4" x14ac:dyDescent="0.25">
      <c r="A10750" t="str">
        <f>T("   220290")</f>
        <v xml:space="preserve">   220290</v>
      </c>
      <c r="B10750" t="str">
        <f>T("   BOISSONS NON-ALCOOLIQUES (À L'EXCL. DES EAUX, DES JUS DE FRUITS OU DE LÉGUMES AINSI QUE DU LAIT)")</f>
        <v xml:space="preserve">   BOISSONS NON-ALCOOLIQUES (À L'EXCL. DES EAUX, DES JUS DE FRUITS OU DE LÉGUMES AINSI QUE DU LAIT)</v>
      </c>
      <c r="C10750">
        <v>15642973</v>
      </c>
      <c r="D10750">
        <v>9946</v>
      </c>
    </row>
    <row r="10751" spans="1:4" x14ac:dyDescent="0.25">
      <c r="A10751" t="str">
        <f>T("   220300")</f>
        <v xml:space="preserve">   220300</v>
      </c>
      <c r="B10751" t="str">
        <f>T("   Bières de malt")</f>
        <v xml:space="preserve">   Bières de malt</v>
      </c>
      <c r="C10751">
        <v>14205408</v>
      </c>
      <c r="D10751">
        <v>60904</v>
      </c>
    </row>
    <row r="10752" spans="1:4" x14ac:dyDescent="0.25">
      <c r="A10752" t="str">
        <f>T("   250810")</f>
        <v xml:space="preserve">   250810</v>
      </c>
      <c r="B10752" t="str">
        <f>T("   Bentonite")</f>
        <v xml:space="preserve">   Bentonite</v>
      </c>
      <c r="C10752">
        <v>10609665</v>
      </c>
      <c r="D10752">
        <v>45000</v>
      </c>
    </row>
    <row r="10753" spans="1:4" x14ac:dyDescent="0.25">
      <c r="A10753" t="str">
        <f>T("   251110")</f>
        <v xml:space="preserve">   251110</v>
      </c>
      <c r="B10753" t="str">
        <f>T("   Sulfate de baryum naturel [barytine]")</f>
        <v xml:space="preserve">   Sulfate de baryum naturel [barytine]</v>
      </c>
      <c r="C10753">
        <v>157183042</v>
      </c>
      <c r="D10753">
        <v>891847</v>
      </c>
    </row>
    <row r="10754" spans="1:4" x14ac:dyDescent="0.25">
      <c r="A10754" t="str">
        <f>T("   252329")</f>
        <v xml:space="preserve">   252329</v>
      </c>
      <c r="B10754" t="str">
        <f>T("   Ciment Portland normal ou modéré (à l'excl. des ciments Portland blancs, même colorés artificiellement)")</f>
        <v xml:space="preserve">   Ciment Portland normal ou modéré (à l'excl. des ciments Portland blancs, même colorés artificiellement)</v>
      </c>
      <c r="C10754">
        <v>27850310</v>
      </c>
      <c r="D10754">
        <v>21422</v>
      </c>
    </row>
    <row r="10755" spans="1:4" x14ac:dyDescent="0.25">
      <c r="A10755" t="str">
        <f>T("   252390")</f>
        <v xml:space="preserve">   252390</v>
      </c>
      <c r="B10755" t="str">
        <f>T("   Ciments, même colorés (à l'excl. des ciments Portland et des ciments alumineux)")</f>
        <v xml:space="preserve">   Ciments, même colorés (à l'excl. des ciments Portland et des ciments alumineux)</v>
      </c>
      <c r="C10755">
        <v>137373987</v>
      </c>
      <c r="D10755">
        <v>644000</v>
      </c>
    </row>
    <row r="10756" spans="1:4" x14ac:dyDescent="0.25">
      <c r="A10756" t="str">
        <f>T("   271019")</f>
        <v xml:space="preserve">   271019</v>
      </c>
      <c r="B10756" t="str">
        <f>T("   Huiles moyennes et préparations, de pétrole ou de minéraux bitumineux, n.d.a.")</f>
        <v xml:space="preserve">   Huiles moyennes et préparations, de pétrole ou de minéraux bitumineux, n.d.a.</v>
      </c>
      <c r="C10756">
        <v>458604673</v>
      </c>
      <c r="D10756">
        <v>861378</v>
      </c>
    </row>
    <row r="10757" spans="1:4" x14ac:dyDescent="0.25">
      <c r="A10757" t="str">
        <f>T("   271113")</f>
        <v xml:space="preserve">   271113</v>
      </c>
      <c r="B10757" t="str">
        <f>T("   Butanes, liquéfiés (à l'excl. des butanes d'une pureté &gt;= 95% en n-butane ou en isobutane)")</f>
        <v xml:space="preserve">   Butanes, liquéfiés (à l'excl. des butanes d'une pureté &gt;= 95% en n-butane ou en isobutane)</v>
      </c>
      <c r="C10757">
        <v>49000000</v>
      </c>
      <c r="D10757">
        <v>140000</v>
      </c>
    </row>
    <row r="10758" spans="1:4" x14ac:dyDescent="0.25">
      <c r="A10758" t="str">
        <f>T("   271129")</f>
        <v xml:space="preserve">   271129</v>
      </c>
      <c r="B10758" t="str">
        <f>T("   Hydrocarbures à l'état gazeux, n.d.a. (à l'excl. du gaz naturel)")</f>
        <v xml:space="preserve">   Hydrocarbures à l'état gazeux, n.d.a. (à l'excl. du gaz naturel)</v>
      </c>
      <c r="C10758">
        <v>775552</v>
      </c>
      <c r="D10758">
        <v>354</v>
      </c>
    </row>
    <row r="10759" spans="1:4" x14ac:dyDescent="0.25">
      <c r="A10759" t="str">
        <f>T("   271311")</f>
        <v xml:space="preserve">   271311</v>
      </c>
      <c r="B10759" t="str">
        <f>T("   Coke de pétrole, non calciné")</f>
        <v xml:space="preserve">   Coke de pétrole, non calciné</v>
      </c>
      <c r="C10759">
        <v>1864662841</v>
      </c>
      <c r="D10759">
        <v>30269686</v>
      </c>
    </row>
    <row r="10760" spans="1:4" x14ac:dyDescent="0.25">
      <c r="A10760" t="str">
        <f>T("   280920")</f>
        <v xml:space="preserve">   280920</v>
      </c>
      <c r="B10760" t="str">
        <f>T("   Acide phosphorique; acides polyphosphoriques, de constitution chimique définie ou non")</f>
        <v xml:space="preserve">   Acide phosphorique; acides polyphosphoriques, de constitution chimique définie ou non</v>
      </c>
      <c r="C10760">
        <v>901201</v>
      </c>
      <c r="D10760">
        <v>200</v>
      </c>
    </row>
    <row r="10761" spans="1:4" x14ac:dyDescent="0.25">
      <c r="A10761" t="str">
        <f>T("   281511")</f>
        <v xml:space="preserve">   281511</v>
      </c>
      <c r="B10761" t="str">
        <f>T("   Hydroxyde de sodium [soude caustique], solide")</f>
        <v xml:space="preserve">   Hydroxyde de sodium [soude caustique], solide</v>
      </c>
      <c r="C10761">
        <v>11253942</v>
      </c>
      <c r="D10761">
        <v>1480</v>
      </c>
    </row>
    <row r="10762" spans="1:4" x14ac:dyDescent="0.25">
      <c r="A10762" t="str">
        <f>T("   282739")</f>
        <v xml:space="preserve">   282739</v>
      </c>
      <c r="B10762" t="str">
        <f>T("   CHLORURES (À L'EXCL. DES CHLORURES D'AMMONIUM, DE CALCIUM, DE MAGNÉSIUM, D'ALUMINIUM, DE NICKEL ET DE MERCURE)")</f>
        <v xml:space="preserve">   CHLORURES (À L'EXCL. DES CHLORURES D'AMMONIUM, DE CALCIUM, DE MAGNÉSIUM, D'ALUMINIUM, DE NICKEL ET DE MERCURE)</v>
      </c>
      <c r="C10762">
        <v>139113636</v>
      </c>
      <c r="D10762">
        <v>1001000</v>
      </c>
    </row>
    <row r="10763" spans="1:4" x14ac:dyDescent="0.25">
      <c r="A10763" t="str">
        <f>T("   282810")</f>
        <v xml:space="preserve">   282810</v>
      </c>
      <c r="B10763" t="str">
        <f>T("   Hypochlorites de calcium, y.c. l'hypochlorite de calcium du commerce")</f>
        <v xml:space="preserve">   Hypochlorites de calcium, y.c. l'hypochlorite de calcium du commerce</v>
      </c>
      <c r="C10763">
        <v>17080608</v>
      </c>
      <c r="D10763">
        <v>15253</v>
      </c>
    </row>
    <row r="10764" spans="1:4" x14ac:dyDescent="0.25">
      <c r="A10764" t="str">
        <f>T("   284440")</f>
        <v xml:space="preserve">   284440</v>
      </c>
      <c r="B10764" t="s">
        <v>67</v>
      </c>
      <c r="C10764">
        <v>9402268</v>
      </c>
      <c r="D10764">
        <v>823</v>
      </c>
    </row>
    <row r="10765" spans="1:4" x14ac:dyDescent="0.25">
      <c r="A10765" t="str">
        <f>T("   285300")</f>
        <v xml:space="preserve">   285300</v>
      </c>
      <c r="B10765" t="str">
        <f>T("   COMPOSÉS INORGANIQUES, Y.C. LES EAUX DISTILLÉES, DE CONDUCTIBILITÉ OU DE MÊME DEGRÉ DE PURETÉ, N.D.A.; AIR LIQUIDE, Y.C. L'AIR LIQUIDE DONT LES GAZ ONT ÉTÉ ÉLIMINÉS; AIR COMPRIMÉ; AMALGAMES (À L'EXCL. DE MÉTAUX PRÉCIEUX)")</f>
        <v xml:space="preserve">   COMPOSÉS INORGANIQUES, Y.C. LES EAUX DISTILLÉES, DE CONDUCTIBILITÉ OU DE MÊME DEGRÉ DE PURETÉ, N.D.A.; AIR LIQUIDE, Y.C. L'AIR LIQUIDE DONT LES GAZ ONT ÉTÉ ÉLIMINÉS; AIR COMPRIMÉ; AMALGAMES (À L'EXCL. DE MÉTAUX PRÉCIEUX)</v>
      </c>
      <c r="C10765">
        <v>90053</v>
      </c>
      <c r="D10765">
        <v>14</v>
      </c>
    </row>
    <row r="10766" spans="1:4" x14ac:dyDescent="0.25">
      <c r="A10766" t="str">
        <f>T("   290110")</f>
        <v xml:space="preserve">   290110</v>
      </c>
      <c r="B10766" t="str">
        <f>T("   Hydrocarbures acycliques, saturés")</f>
        <v xml:space="preserve">   Hydrocarbures acycliques, saturés</v>
      </c>
      <c r="C10766">
        <v>16256803</v>
      </c>
      <c r="D10766">
        <v>19500</v>
      </c>
    </row>
    <row r="10767" spans="1:4" x14ac:dyDescent="0.25">
      <c r="A10767" t="str">
        <f>T("   300210")</f>
        <v xml:space="preserve">   300210</v>
      </c>
      <c r="B10767" t="str">
        <f>T("   Antisérums, autres fractions du sang, produits immunologiques modifiés, même obtenus par voie biotechnologique")</f>
        <v xml:space="preserve">   Antisérums, autres fractions du sang, produits immunologiques modifiés, même obtenus par voie biotechnologique</v>
      </c>
      <c r="C10767">
        <v>46624900</v>
      </c>
      <c r="D10767">
        <v>11340</v>
      </c>
    </row>
    <row r="10768" spans="1:4" x14ac:dyDescent="0.25">
      <c r="A10768" t="str">
        <f>T("   300450")</f>
        <v xml:space="preserve">   300450</v>
      </c>
      <c r="B10768" t="s">
        <v>83</v>
      </c>
      <c r="C10768">
        <v>29941</v>
      </c>
      <c r="D10768">
        <v>3</v>
      </c>
    </row>
    <row r="10769" spans="1:4" x14ac:dyDescent="0.25">
      <c r="A10769" t="str">
        <f>T("   320820")</f>
        <v xml:space="preserve">   320820</v>
      </c>
      <c r="B10769" t="s">
        <v>101</v>
      </c>
      <c r="C10769">
        <v>1015189</v>
      </c>
      <c r="D10769">
        <v>992</v>
      </c>
    </row>
    <row r="10770" spans="1:4" x14ac:dyDescent="0.25">
      <c r="A10770" t="str">
        <f>T("   320990")</f>
        <v xml:space="preserve">   320990</v>
      </c>
      <c r="B10770"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0770">
        <v>1048832</v>
      </c>
      <c r="D10770">
        <v>816</v>
      </c>
    </row>
    <row r="10771" spans="1:4" x14ac:dyDescent="0.25">
      <c r="A10771" t="str">
        <f>T("   330210")</f>
        <v xml:space="preserve">   330210</v>
      </c>
      <c r="B1077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0771">
        <v>6051887</v>
      </c>
      <c r="D10771">
        <v>11431</v>
      </c>
    </row>
    <row r="10772" spans="1:4" x14ac:dyDescent="0.25">
      <c r="A10772" t="str">
        <f>T("   330499")</f>
        <v xml:space="preserve">   330499</v>
      </c>
      <c r="B10772" t="s">
        <v>106</v>
      </c>
      <c r="C10772">
        <v>5365912</v>
      </c>
      <c r="D10772">
        <v>27572</v>
      </c>
    </row>
    <row r="10773" spans="1:4" x14ac:dyDescent="0.25">
      <c r="A10773" t="str">
        <f>T("   340111")</f>
        <v xml:space="preserve">   340111</v>
      </c>
      <c r="B10773" t="s">
        <v>107</v>
      </c>
      <c r="C10773">
        <v>330000</v>
      </c>
      <c r="D10773">
        <v>220</v>
      </c>
    </row>
    <row r="10774" spans="1:4" x14ac:dyDescent="0.25">
      <c r="A10774" t="str">
        <f>T("   340120")</f>
        <v xml:space="preserve">   340120</v>
      </c>
      <c r="B10774" t="str">
        <f>T("   Savons en flocons, en paillettes, en granulés ou en poudres et savons liquides ou pâteux")</f>
        <v xml:space="preserve">   Savons en flocons, en paillettes, en granulés ou en poudres et savons liquides ou pâteux</v>
      </c>
      <c r="C10774">
        <v>1339067</v>
      </c>
      <c r="D10774">
        <v>200</v>
      </c>
    </row>
    <row r="10775" spans="1:4" x14ac:dyDescent="0.25">
      <c r="A10775" t="str">
        <f>T("   340220")</f>
        <v xml:space="preserve">   340220</v>
      </c>
      <c r="B10775" t="s">
        <v>109</v>
      </c>
      <c r="C10775">
        <v>63391</v>
      </c>
      <c r="D10775">
        <v>25</v>
      </c>
    </row>
    <row r="10776" spans="1:4" x14ac:dyDescent="0.25">
      <c r="A10776" t="str">
        <f>T("   340290")</f>
        <v xml:space="preserve">   340290</v>
      </c>
      <c r="B10776" t="s">
        <v>110</v>
      </c>
      <c r="C10776">
        <v>54768560</v>
      </c>
      <c r="D10776">
        <v>42126</v>
      </c>
    </row>
    <row r="10777" spans="1:4" x14ac:dyDescent="0.25">
      <c r="A10777" t="str">
        <f>T("   350691")</f>
        <v xml:space="preserve">   350691</v>
      </c>
      <c r="B10777"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0777">
        <v>37564262</v>
      </c>
      <c r="D10777">
        <v>3076</v>
      </c>
    </row>
    <row r="10778" spans="1:4" x14ac:dyDescent="0.25">
      <c r="A10778" t="str">
        <f>T("   360200")</f>
        <v xml:space="preserve">   360200</v>
      </c>
      <c r="B10778" t="str">
        <f>T("   Explosifs préparés (à l'excl. des poudres propulsives)")</f>
        <v xml:space="preserve">   Explosifs préparés (à l'excl. des poudres propulsives)</v>
      </c>
      <c r="C10778">
        <v>2140455</v>
      </c>
      <c r="D10778">
        <v>168</v>
      </c>
    </row>
    <row r="10779" spans="1:4" x14ac:dyDescent="0.25">
      <c r="A10779" t="str">
        <f>T("   360300")</f>
        <v xml:space="preserve">   360300</v>
      </c>
      <c r="B10779"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10779">
        <v>4906267</v>
      </c>
      <c r="D10779">
        <v>419</v>
      </c>
    </row>
    <row r="10780" spans="1:4" x14ac:dyDescent="0.25">
      <c r="A10780" t="str">
        <f>T("   370110")</f>
        <v xml:space="preserve">   370110</v>
      </c>
      <c r="B10780" t="str">
        <f>T("   PLAQUES ET FILMS PLANS, PHOTOGRAPHIQUES, SENSIBILISÉS, NON-IMPRESSIONNÉS, POUR RAYONS X (SAUF EN PAPIER, EN CARTON OU EN MATIÈRES TEXTILES)")</f>
        <v xml:space="preserve">   PLAQUES ET FILMS PLANS, PHOTOGRAPHIQUES, SENSIBILISÉS, NON-IMPRESSIONNÉS, POUR RAYONS X (SAUF EN PAPIER, EN CARTON OU EN MATIÈRES TEXTILES)</v>
      </c>
      <c r="C10780">
        <v>813011</v>
      </c>
      <c r="D10780">
        <v>112</v>
      </c>
    </row>
    <row r="10781" spans="1:4" x14ac:dyDescent="0.25">
      <c r="A10781" t="str">
        <f>T("   380400")</f>
        <v xml:space="preserve">   380400</v>
      </c>
      <c r="B10781" t="str">
        <f>T("   Lessives résiduaires de la fabrication des pâtes de cellulose, même concentrées, désucrées ou traitées chimiquement, y.c. les lignosulfonates (à l'excl. du tall oil, de la soude caustique et de la poix de sulfate [poix de tall oil])")</f>
        <v xml:space="preserve">   Lessives résiduaires de la fabrication des pâtes de cellulose, même concentrées, désucrées ou traitées chimiquement, y.c. les lignosulfonates (à l'excl. du tall oil, de la soude caustique et de la poix de sulfate [poix de tall oil])</v>
      </c>
      <c r="C10781">
        <v>25989673</v>
      </c>
      <c r="D10781">
        <v>7035</v>
      </c>
    </row>
    <row r="10782" spans="1:4" x14ac:dyDescent="0.25">
      <c r="A10782" t="str">
        <f>T("   381129")</f>
        <v xml:space="preserve">   381129</v>
      </c>
      <c r="B10782" t="str">
        <f>T("   Additifs préparés pour huiles lubrifiantes, ne contenant pas d'huiles de pétrole ou de minéraux bitumineux")</f>
        <v xml:space="preserve">   Additifs préparés pour huiles lubrifiantes, ne contenant pas d'huiles de pétrole ou de minéraux bitumineux</v>
      </c>
      <c r="C10782">
        <v>6158974</v>
      </c>
      <c r="D10782">
        <v>391</v>
      </c>
    </row>
    <row r="10783" spans="1:4" x14ac:dyDescent="0.25">
      <c r="A10783" t="str">
        <f>T("   382200")</f>
        <v xml:space="preserve">   382200</v>
      </c>
      <c r="B10783" t="s">
        <v>133</v>
      </c>
      <c r="C10783">
        <v>8499785</v>
      </c>
      <c r="D10783">
        <v>203</v>
      </c>
    </row>
    <row r="10784" spans="1:4" x14ac:dyDescent="0.25">
      <c r="A10784" t="str">
        <f>T("   382490")</f>
        <v xml:space="preserve">   382490</v>
      </c>
      <c r="B10784"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0784">
        <v>1171811179</v>
      </c>
      <c r="D10784">
        <v>1084032</v>
      </c>
    </row>
    <row r="10785" spans="1:4" x14ac:dyDescent="0.25">
      <c r="A10785" t="str">
        <f>T("   390450")</f>
        <v xml:space="preserve">   390450</v>
      </c>
      <c r="B10785" t="str">
        <f>T("   Polymères du chlorure de vinylidène, sous formes primaires")</f>
        <v xml:space="preserve">   Polymères du chlorure de vinylidène, sous formes primaires</v>
      </c>
      <c r="C10785">
        <v>156895137</v>
      </c>
      <c r="D10785">
        <v>306000</v>
      </c>
    </row>
    <row r="10786" spans="1:4" x14ac:dyDescent="0.25">
      <c r="A10786" t="str">
        <f>T("   390690")</f>
        <v xml:space="preserve">   390690</v>
      </c>
      <c r="B10786" t="str">
        <f>T("   Polymères acryliques, sous formes primaires (à l'excl. du poly[méthacrylate de méthyle])")</f>
        <v xml:space="preserve">   Polymères acryliques, sous formes primaires (à l'excl. du poly[méthacrylate de méthyle])</v>
      </c>
      <c r="C10786">
        <v>17300890</v>
      </c>
      <c r="D10786">
        <v>13307</v>
      </c>
    </row>
    <row r="10787" spans="1:4" x14ac:dyDescent="0.25">
      <c r="A10787" t="str">
        <f>T("   390720")</f>
        <v xml:space="preserve">   390720</v>
      </c>
      <c r="B10787" t="str">
        <f>T("   Polyéthers, sous formes primaires (à l'excl. des polyacétals)")</f>
        <v xml:space="preserve">   Polyéthers, sous formes primaires (à l'excl. des polyacétals)</v>
      </c>
      <c r="C10787">
        <v>30171502</v>
      </c>
      <c r="D10787">
        <v>8167</v>
      </c>
    </row>
    <row r="10788" spans="1:4" x14ac:dyDescent="0.25">
      <c r="A10788" t="str">
        <f>T("   390930")</f>
        <v xml:space="preserve">   390930</v>
      </c>
      <c r="B10788"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10788">
        <v>185166116</v>
      </c>
      <c r="D10788">
        <v>352470</v>
      </c>
    </row>
    <row r="10789" spans="1:4" x14ac:dyDescent="0.25">
      <c r="A10789" t="str">
        <f>T("   391721")</f>
        <v xml:space="preserve">   391721</v>
      </c>
      <c r="B10789" t="str">
        <f>T("   TUBES ET TUYAUX RIGIDES, EN POLYMÈRES DE L'ÉTHYLÈNE")</f>
        <v xml:space="preserve">   TUBES ET TUYAUX RIGIDES, EN POLYMÈRES DE L'ÉTHYLÈNE</v>
      </c>
      <c r="C10789">
        <v>247454</v>
      </c>
      <c r="D10789">
        <v>29</v>
      </c>
    </row>
    <row r="10790" spans="1:4" x14ac:dyDescent="0.25">
      <c r="A10790" t="str">
        <f>T("   391890")</f>
        <v xml:space="preserve">   391890</v>
      </c>
      <c r="B10790" t="s">
        <v>138</v>
      </c>
      <c r="C10790">
        <v>144207</v>
      </c>
      <c r="D10790">
        <v>300</v>
      </c>
    </row>
    <row r="10791" spans="1:4" x14ac:dyDescent="0.25">
      <c r="A10791" t="str">
        <f>T("   391910")</f>
        <v xml:space="preserve">   391910</v>
      </c>
      <c r="B10791"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10791">
        <v>55267</v>
      </c>
      <c r="D10791">
        <v>6</v>
      </c>
    </row>
    <row r="10792" spans="1:4" x14ac:dyDescent="0.25">
      <c r="A10792" t="str">
        <f>T("   392390")</f>
        <v xml:space="preserve">   392390</v>
      </c>
      <c r="B10792" t="s">
        <v>156</v>
      </c>
      <c r="C10792">
        <v>1110806</v>
      </c>
      <c r="D10792">
        <v>10</v>
      </c>
    </row>
    <row r="10793" spans="1:4" x14ac:dyDescent="0.25">
      <c r="A10793" t="str">
        <f>T("   392410")</f>
        <v xml:space="preserve">   392410</v>
      </c>
      <c r="B10793" t="str">
        <f>T("   Vaisselle et autres articles pour le service de la table ou de la cuisine, en matières plastiques")</f>
        <v xml:space="preserve">   Vaisselle et autres articles pour le service de la table ou de la cuisine, en matières plastiques</v>
      </c>
      <c r="C10793">
        <v>452928</v>
      </c>
      <c r="D10793">
        <v>800</v>
      </c>
    </row>
    <row r="10794" spans="1:4" x14ac:dyDescent="0.25">
      <c r="A10794" t="str">
        <f>T("   392490")</f>
        <v xml:space="preserve">   392490</v>
      </c>
      <c r="B10794" t="s">
        <v>157</v>
      </c>
      <c r="C10794">
        <v>6314766</v>
      </c>
      <c r="D10794">
        <v>23664</v>
      </c>
    </row>
    <row r="10795" spans="1:4" x14ac:dyDescent="0.25">
      <c r="A10795" t="str">
        <f>T("   392510")</f>
        <v xml:space="preserve">   392510</v>
      </c>
      <c r="B10795" t="str">
        <f>T("   Réservoirs, foudres, cuves et récipients analogues, en matières plastiques, d'une contenance &gt; 300 l")</f>
        <v xml:space="preserve">   Réservoirs, foudres, cuves et récipients analogues, en matières plastiques, d'une contenance &gt; 300 l</v>
      </c>
      <c r="C10795">
        <v>310000</v>
      </c>
      <c r="D10795">
        <v>230</v>
      </c>
    </row>
    <row r="10796" spans="1:4" x14ac:dyDescent="0.25">
      <c r="A10796" t="str">
        <f>T("   392690")</f>
        <v xml:space="preserve">   392690</v>
      </c>
      <c r="B10796" t="str">
        <f>T("   Ouvrages en matières plastiques et ouvrages en autres matières du n° 3901 à 3914, n.d.a.")</f>
        <v xml:space="preserve">   Ouvrages en matières plastiques et ouvrages en autres matières du n° 3901 à 3914, n.d.a.</v>
      </c>
      <c r="C10796">
        <v>18788245</v>
      </c>
      <c r="D10796">
        <v>2757</v>
      </c>
    </row>
    <row r="10797" spans="1:4" x14ac:dyDescent="0.25">
      <c r="A10797" t="str">
        <f>T("   400922")</f>
        <v xml:space="preserve">   400922</v>
      </c>
      <c r="B10797"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10797">
        <v>3689071</v>
      </c>
      <c r="D10797">
        <v>161</v>
      </c>
    </row>
    <row r="10798" spans="1:4" x14ac:dyDescent="0.25">
      <c r="A10798" t="str">
        <f>T("   400931")</f>
        <v xml:space="preserve">   400931</v>
      </c>
      <c r="B10798"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10798">
        <v>6359693</v>
      </c>
      <c r="D10798">
        <v>339</v>
      </c>
    </row>
    <row r="10799" spans="1:4" x14ac:dyDescent="0.25">
      <c r="A10799" t="str">
        <f>T("   401019")</f>
        <v xml:space="preserve">   401019</v>
      </c>
      <c r="B10799"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0799">
        <v>574074</v>
      </c>
      <c r="D10799">
        <v>40</v>
      </c>
    </row>
    <row r="10800" spans="1:4" x14ac:dyDescent="0.25">
      <c r="A10800" t="str">
        <f>T("   401039")</f>
        <v xml:space="preserve">   401039</v>
      </c>
      <c r="B10800" t="s">
        <v>164</v>
      </c>
      <c r="C10800">
        <v>298462</v>
      </c>
      <c r="D10800">
        <v>17</v>
      </c>
    </row>
    <row r="10801" spans="1:4" x14ac:dyDescent="0.25">
      <c r="A10801" t="str">
        <f>T("   401110")</f>
        <v xml:space="preserve">   401110</v>
      </c>
      <c r="B1080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801">
        <v>14658214</v>
      </c>
      <c r="D10801">
        <v>5620</v>
      </c>
    </row>
    <row r="10802" spans="1:4" x14ac:dyDescent="0.25">
      <c r="A10802" t="str">
        <f>T("   401193")</f>
        <v xml:space="preserve">   401193</v>
      </c>
      <c r="B10802"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10802">
        <v>6488047</v>
      </c>
      <c r="D10802">
        <v>1166</v>
      </c>
    </row>
    <row r="10803" spans="1:4" x14ac:dyDescent="0.25">
      <c r="A10803" t="str">
        <f>T("   401220")</f>
        <v xml:space="preserve">   401220</v>
      </c>
      <c r="B10803" t="str">
        <f>T("   Pneumatiques usagés, en caoutchouc")</f>
        <v xml:space="preserve">   Pneumatiques usagés, en caoutchouc</v>
      </c>
      <c r="C10803">
        <v>43179747</v>
      </c>
      <c r="D10803">
        <v>186630</v>
      </c>
    </row>
    <row r="10804" spans="1:4" x14ac:dyDescent="0.25">
      <c r="A10804" t="str">
        <f>T("   401310")</f>
        <v xml:space="preserve">   401310</v>
      </c>
      <c r="B1080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0804">
        <v>1201063</v>
      </c>
      <c r="D10804">
        <v>10000</v>
      </c>
    </row>
    <row r="10805" spans="1:4" x14ac:dyDescent="0.25">
      <c r="A10805" t="str">
        <f>T("   401390")</f>
        <v xml:space="preserve">   401390</v>
      </c>
      <c r="B1080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0805">
        <v>3181406</v>
      </c>
      <c r="D10805">
        <v>29980</v>
      </c>
    </row>
    <row r="10806" spans="1:4" x14ac:dyDescent="0.25">
      <c r="A10806" t="str">
        <f>T("   401410")</f>
        <v xml:space="preserve">   401410</v>
      </c>
      <c r="B10806" t="str">
        <f>T("   Préservatifs en caoutchouc vulcanisé non durci")</f>
        <v xml:space="preserve">   Préservatifs en caoutchouc vulcanisé non durci</v>
      </c>
      <c r="C10806">
        <v>1811710</v>
      </c>
      <c r="D10806">
        <v>275</v>
      </c>
    </row>
    <row r="10807" spans="1:4" x14ac:dyDescent="0.25">
      <c r="A10807" t="str">
        <f>T("   401590")</f>
        <v xml:space="preserve">   401590</v>
      </c>
      <c r="B10807"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10807">
        <v>45066</v>
      </c>
      <c r="D10807">
        <v>29</v>
      </c>
    </row>
    <row r="10808" spans="1:4" x14ac:dyDescent="0.25">
      <c r="A10808" t="str">
        <f>T("   401693")</f>
        <v xml:space="preserve">   401693</v>
      </c>
      <c r="B10808" t="str">
        <f>T("   Joints en caoutchouc vulcanisé non durci (à l'excl. des articles en caoutchouc alvéolaire)")</f>
        <v xml:space="preserve">   Joints en caoutchouc vulcanisé non durci (à l'excl. des articles en caoutchouc alvéolaire)</v>
      </c>
      <c r="C10808">
        <v>1513106</v>
      </c>
      <c r="D10808">
        <v>24</v>
      </c>
    </row>
    <row r="10809" spans="1:4" x14ac:dyDescent="0.25">
      <c r="A10809" t="str">
        <f>T("   401695")</f>
        <v xml:space="preserve">   401695</v>
      </c>
      <c r="B10809" t="s">
        <v>167</v>
      </c>
      <c r="C10809">
        <v>15112329</v>
      </c>
      <c r="D10809">
        <v>220</v>
      </c>
    </row>
    <row r="10810" spans="1:4" x14ac:dyDescent="0.25">
      <c r="A10810" t="str">
        <f>T("   401699")</f>
        <v xml:space="preserve">   401699</v>
      </c>
      <c r="B10810" t="str">
        <f>T("   OUVRAGES EN CAOUTCHOUC VULCANISÉ NON-DURCI, N.D.A.")</f>
        <v xml:space="preserve">   OUVRAGES EN CAOUTCHOUC VULCANISÉ NON-DURCI, N.D.A.</v>
      </c>
      <c r="C10810">
        <v>49815</v>
      </c>
      <c r="D10810">
        <v>1</v>
      </c>
    </row>
    <row r="10811" spans="1:4" x14ac:dyDescent="0.25">
      <c r="A10811" t="str">
        <f>T("   420219")</f>
        <v xml:space="preserve">   420219</v>
      </c>
      <c r="B10811" t="s">
        <v>171</v>
      </c>
      <c r="C10811">
        <v>85598</v>
      </c>
      <c r="D10811">
        <v>3</v>
      </c>
    </row>
    <row r="10812" spans="1:4" x14ac:dyDescent="0.25">
      <c r="A10812" t="str">
        <f>T("   420229")</f>
        <v xml:space="preserve">   420229</v>
      </c>
      <c r="B1081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812">
        <v>6969554</v>
      </c>
      <c r="D10812">
        <v>16039</v>
      </c>
    </row>
    <row r="10813" spans="1:4" x14ac:dyDescent="0.25">
      <c r="A10813" t="str">
        <f>T("   420299")</f>
        <v xml:space="preserve">   420299</v>
      </c>
      <c r="B10813" t="s">
        <v>174</v>
      </c>
      <c r="C10813">
        <v>631007</v>
      </c>
      <c r="D10813">
        <v>1320</v>
      </c>
    </row>
    <row r="10814" spans="1:4" x14ac:dyDescent="0.25">
      <c r="A10814" t="str">
        <f>T("   441600")</f>
        <v xml:space="preserve">   441600</v>
      </c>
      <c r="B10814" t="str">
        <f>T("   Futailles, cuves, baquets et autres ouvrages de tonnellerie et leurs parties reconnaissables, en bois, y.c. les merrains")</f>
        <v xml:space="preserve">   Futailles, cuves, baquets et autres ouvrages de tonnellerie et leurs parties reconnaissables, en bois, y.c. les merrains</v>
      </c>
      <c r="C10814">
        <v>135500</v>
      </c>
      <c r="D10814">
        <v>200</v>
      </c>
    </row>
    <row r="10815" spans="1:4" x14ac:dyDescent="0.25">
      <c r="A10815" t="str">
        <f>T("   480261")</f>
        <v xml:space="preserve">   480261</v>
      </c>
      <c r="B10815" t="s">
        <v>210</v>
      </c>
      <c r="C10815">
        <v>19701</v>
      </c>
      <c r="D10815">
        <v>1</v>
      </c>
    </row>
    <row r="10816" spans="1:4" x14ac:dyDescent="0.25">
      <c r="A10816" t="str">
        <f>T("   481810")</f>
        <v xml:space="preserve">   481810</v>
      </c>
      <c r="B10816" t="str">
        <f>T("   Papier hygiénique, en rouleaux d'une largeur &lt;= 36 cm")</f>
        <v xml:space="preserve">   Papier hygiénique, en rouleaux d'une largeur &lt;= 36 cm</v>
      </c>
      <c r="C10816">
        <v>1000000</v>
      </c>
      <c r="D10816">
        <v>7075</v>
      </c>
    </row>
    <row r="10817" spans="1:4" x14ac:dyDescent="0.25">
      <c r="A10817" t="str">
        <f>T("   481840")</f>
        <v xml:space="preserve">   481840</v>
      </c>
      <c r="B10817"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817">
        <v>692713</v>
      </c>
      <c r="D10817">
        <v>500</v>
      </c>
    </row>
    <row r="10818" spans="1:4" x14ac:dyDescent="0.25">
      <c r="A10818" t="str">
        <f>T("   490110")</f>
        <v xml:space="preserve">   490110</v>
      </c>
      <c r="B10818"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10818">
        <v>38335</v>
      </c>
      <c r="D10818">
        <v>16</v>
      </c>
    </row>
    <row r="10819" spans="1:4" x14ac:dyDescent="0.25">
      <c r="A10819" t="str">
        <f>T("   490199")</f>
        <v xml:space="preserve">   490199</v>
      </c>
      <c r="B1081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819">
        <v>126741863</v>
      </c>
      <c r="D10819">
        <v>75846.8</v>
      </c>
    </row>
    <row r="10820" spans="1:4" x14ac:dyDescent="0.25">
      <c r="A10820" t="str">
        <f>T("   490599")</f>
        <v xml:space="preserve">   490599</v>
      </c>
      <c r="B10820"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10820">
        <v>69705</v>
      </c>
      <c r="D10820">
        <v>1</v>
      </c>
    </row>
    <row r="10821" spans="1:4" x14ac:dyDescent="0.25">
      <c r="A10821" t="str">
        <f>T("   490700")</f>
        <v xml:space="preserve">   490700</v>
      </c>
      <c r="B10821" t="s">
        <v>237</v>
      </c>
      <c r="C10821">
        <v>101450</v>
      </c>
      <c r="D10821">
        <v>22</v>
      </c>
    </row>
    <row r="10822" spans="1:4" x14ac:dyDescent="0.25">
      <c r="A10822" t="str">
        <f>T("   491110")</f>
        <v xml:space="preserve">   491110</v>
      </c>
      <c r="B10822" t="str">
        <f>T("   Imprimés publicitaires, catalogues commerciaux et simil.")</f>
        <v xml:space="preserve">   Imprimés publicitaires, catalogues commerciaux et simil.</v>
      </c>
      <c r="C10822">
        <v>76295</v>
      </c>
      <c r="D10822">
        <v>4</v>
      </c>
    </row>
    <row r="10823" spans="1:4" x14ac:dyDescent="0.25">
      <c r="A10823" t="str">
        <f>T("   491199")</f>
        <v xml:space="preserve">   491199</v>
      </c>
      <c r="B10823" t="str">
        <f>T("   Imprimés, n.d.a.")</f>
        <v xml:space="preserve">   Imprimés, n.d.a.</v>
      </c>
      <c r="C10823">
        <v>555652</v>
      </c>
      <c r="D10823">
        <v>5</v>
      </c>
    </row>
    <row r="10824" spans="1:4" x14ac:dyDescent="0.25">
      <c r="A10824" t="str">
        <f>T("   560811")</f>
        <v xml:space="preserve">   560811</v>
      </c>
      <c r="B10824"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10824">
        <v>66607</v>
      </c>
      <c r="D10824">
        <v>227</v>
      </c>
    </row>
    <row r="10825" spans="1:4" x14ac:dyDescent="0.25">
      <c r="A10825" t="str">
        <f>T("   570500")</f>
        <v xml:space="preserve">   570500</v>
      </c>
      <c r="B10825"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825">
        <v>50088</v>
      </c>
      <c r="D10825">
        <v>643</v>
      </c>
    </row>
    <row r="10826" spans="1:4" x14ac:dyDescent="0.25">
      <c r="A10826" t="str">
        <f>T("   610349")</f>
        <v xml:space="preserve">   610349</v>
      </c>
      <c r="B10826"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10826">
        <v>48000</v>
      </c>
      <c r="D10826">
        <v>80</v>
      </c>
    </row>
    <row r="10827" spans="1:4" x14ac:dyDescent="0.25">
      <c r="A10827" t="str">
        <f>T("   610469")</f>
        <v xml:space="preserve">   610469</v>
      </c>
      <c r="B10827" t="s">
        <v>280</v>
      </c>
      <c r="C10827">
        <v>450000</v>
      </c>
      <c r="D10827">
        <v>500</v>
      </c>
    </row>
    <row r="10828" spans="1:4" x14ac:dyDescent="0.25">
      <c r="A10828" t="str">
        <f>T("   610910")</f>
        <v xml:space="preserve">   610910</v>
      </c>
      <c r="B10828" t="str">
        <f>T("   T-shirts et maillots de corps, en bonneterie, de coton,")</f>
        <v xml:space="preserve">   T-shirts et maillots de corps, en bonneterie, de coton,</v>
      </c>
      <c r="C10828">
        <v>3693225</v>
      </c>
      <c r="D10828">
        <v>290</v>
      </c>
    </row>
    <row r="10829" spans="1:4" x14ac:dyDescent="0.25">
      <c r="A10829" t="str">
        <f>T("   610990")</f>
        <v xml:space="preserve">   610990</v>
      </c>
      <c r="B10829" t="str">
        <f>T("   T-shirts et maillots de corps, en bonneterie, de matières textiles (sauf de coton)")</f>
        <v xml:space="preserve">   T-shirts et maillots de corps, en bonneterie, de matières textiles (sauf de coton)</v>
      </c>
      <c r="C10829">
        <v>95026</v>
      </c>
      <c r="D10829">
        <v>7</v>
      </c>
    </row>
    <row r="10830" spans="1:4" x14ac:dyDescent="0.25">
      <c r="A10830" t="str">
        <f>T("   611130")</f>
        <v xml:space="preserve">   611130</v>
      </c>
      <c r="B10830" t="str">
        <f>T("   Vêtements et accessoires du vêtement, en bonneterie, de fibres synthétiques, pour bébés (sauf bonnets)")</f>
        <v xml:space="preserve">   Vêtements et accessoires du vêtement, en bonneterie, de fibres synthétiques, pour bébés (sauf bonnets)</v>
      </c>
      <c r="C10830">
        <v>119893</v>
      </c>
      <c r="D10830">
        <v>19</v>
      </c>
    </row>
    <row r="10831" spans="1:4" x14ac:dyDescent="0.25">
      <c r="A10831" t="str">
        <f>T("   611490")</f>
        <v xml:space="preserve">   611490</v>
      </c>
      <c r="B10831"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831">
        <v>5300000</v>
      </c>
      <c r="D10831">
        <v>4466</v>
      </c>
    </row>
    <row r="10832" spans="1:4" x14ac:dyDescent="0.25">
      <c r="A10832" t="str">
        <f>T("   611610")</f>
        <v xml:space="preserve">   611610</v>
      </c>
      <c r="B10832"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10832">
        <v>254977</v>
      </c>
      <c r="D10832">
        <v>4.5</v>
      </c>
    </row>
    <row r="10833" spans="1:4" x14ac:dyDescent="0.25">
      <c r="A10833" t="str">
        <f>T("   620299")</f>
        <v xml:space="preserve">   620299</v>
      </c>
      <c r="B10833" t="s">
        <v>287</v>
      </c>
      <c r="C10833">
        <v>109993</v>
      </c>
      <c r="D10833">
        <v>71</v>
      </c>
    </row>
    <row r="10834" spans="1:4" x14ac:dyDescent="0.25">
      <c r="A10834" t="str">
        <f>T("   620319")</f>
        <v xml:space="preserve">   620319</v>
      </c>
      <c r="B10834" t="s">
        <v>288</v>
      </c>
      <c r="C10834">
        <v>255500</v>
      </c>
      <c r="D10834">
        <v>1146</v>
      </c>
    </row>
    <row r="10835" spans="1:4" x14ac:dyDescent="0.25">
      <c r="A10835" t="str">
        <f>T("   620339")</f>
        <v xml:space="preserve">   620339</v>
      </c>
      <c r="B10835"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10835">
        <v>141000</v>
      </c>
      <c r="D10835">
        <v>388</v>
      </c>
    </row>
    <row r="10836" spans="1:4" x14ac:dyDescent="0.25">
      <c r="A10836" t="str">
        <f>T("   620349")</f>
        <v xml:space="preserve">   620349</v>
      </c>
      <c r="B10836" t="s">
        <v>289</v>
      </c>
      <c r="C10836">
        <v>1600000</v>
      </c>
      <c r="D10836">
        <v>590</v>
      </c>
    </row>
    <row r="10837" spans="1:4" x14ac:dyDescent="0.25">
      <c r="A10837" t="str">
        <f>T("   620590")</f>
        <v xml:space="preserve">   620590</v>
      </c>
      <c r="B1083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837">
        <v>9463576</v>
      </c>
      <c r="D10837">
        <v>17960</v>
      </c>
    </row>
    <row r="10838" spans="1:4" x14ac:dyDescent="0.25">
      <c r="A10838" t="str">
        <f>T("   620819")</f>
        <v xml:space="preserve">   620819</v>
      </c>
      <c r="B10838" t="str">
        <f>T("   Combinaisons ou fonds de robes et jupons, de matières textiles, pour femmes ou fillettes (autres que de fibres synthétiques ou artificielles, autres qu'en bonneterie et sauf gilets de corps et chemises de jour)")</f>
        <v xml:space="preserve">   Combinaisons ou fonds de robes et jupons, de matières textiles, pour femmes ou fillettes (autres que de fibres synthétiques ou artificielles, autres qu'en bonneterie et sauf gilets de corps et chemises de jour)</v>
      </c>
      <c r="C10838">
        <v>25254</v>
      </c>
      <c r="D10838">
        <v>20</v>
      </c>
    </row>
    <row r="10839" spans="1:4" x14ac:dyDescent="0.25">
      <c r="A10839" t="str">
        <f>T("   621020")</f>
        <v xml:space="preserve">   621020</v>
      </c>
      <c r="B10839"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10839">
        <v>85550</v>
      </c>
      <c r="D10839">
        <v>114</v>
      </c>
    </row>
    <row r="10840" spans="1:4" x14ac:dyDescent="0.25">
      <c r="A10840" t="str">
        <f>T("   621040")</f>
        <v xml:space="preserve">   621040</v>
      </c>
      <c r="B10840" t="s">
        <v>294</v>
      </c>
      <c r="C10840">
        <v>1114261</v>
      </c>
      <c r="D10840">
        <v>1050</v>
      </c>
    </row>
    <row r="10841" spans="1:4" x14ac:dyDescent="0.25">
      <c r="A10841" t="str">
        <f>T("   630510")</f>
        <v xml:space="preserve">   630510</v>
      </c>
      <c r="B10841" t="str">
        <f>T("   Sacs et sachets d'emballage de jute ou d'autres fibres textiles libériennes du n° 5303")</f>
        <v xml:space="preserve">   Sacs et sachets d'emballage de jute ou d'autres fibres textiles libériennes du n° 5303</v>
      </c>
      <c r="C10841">
        <v>9405000</v>
      </c>
      <c r="D10841">
        <v>47174</v>
      </c>
    </row>
    <row r="10842" spans="1:4" x14ac:dyDescent="0.25">
      <c r="A10842" t="str">
        <f>T("   630612")</f>
        <v xml:space="preserve">   630612</v>
      </c>
      <c r="B10842"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10842">
        <v>12313965</v>
      </c>
      <c r="D10842">
        <v>1269</v>
      </c>
    </row>
    <row r="10843" spans="1:4" x14ac:dyDescent="0.25">
      <c r="A10843" t="str">
        <f>T("   630619")</f>
        <v xml:space="preserve">   630619</v>
      </c>
      <c r="B10843"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10843">
        <v>646000</v>
      </c>
      <c r="D10843">
        <v>288</v>
      </c>
    </row>
    <row r="10844" spans="1:4" x14ac:dyDescent="0.25">
      <c r="A10844" t="str">
        <f>T("   630900")</f>
        <v xml:space="preserve">   630900</v>
      </c>
      <c r="B10844" t="s">
        <v>300</v>
      </c>
      <c r="C10844">
        <v>1634830351</v>
      </c>
      <c r="D10844">
        <v>2974646</v>
      </c>
    </row>
    <row r="10845" spans="1:4" x14ac:dyDescent="0.25">
      <c r="A10845" t="str">
        <f>T("   631090")</f>
        <v xml:space="preserve">   631090</v>
      </c>
      <c r="B10845"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0845">
        <v>1748000</v>
      </c>
      <c r="D10845">
        <v>3264</v>
      </c>
    </row>
    <row r="10846" spans="1:4" x14ac:dyDescent="0.25">
      <c r="A10846" t="str">
        <f>T("   640419")</f>
        <v xml:space="preserve">   640419</v>
      </c>
      <c r="B10846" t="s">
        <v>310</v>
      </c>
      <c r="C10846">
        <v>24777804</v>
      </c>
      <c r="D10846">
        <v>9889</v>
      </c>
    </row>
    <row r="10847" spans="1:4" x14ac:dyDescent="0.25">
      <c r="A10847" t="str">
        <f>T("   640590")</f>
        <v xml:space="preserve">   640590</v>
      </c>
      <c r="B10847" t="s">
        <v>311</v>
      </c>
      <c r="C10847">
        <v>50738000</v>
      </c>
      <c r="D10847">
        <v>93887</v>
      </c>
    </row>
    <row r="10848" spans="1:4" x14ac:dyDescent="0.25">
      <c r="A10848" t="str">
        <f>T("   670420")</f>
        <v xml:space="preserve">   670420</v>
      </c>
      <c r="B10848" t="str">
        <f>T("   Perruques, barbes, sourcils, cils, mèches et articles simil., en cheveux; ouvrages en cheveux n.d.a.")</f>
        <v xml:space="preserve">   Perruques, barbes, sourcils, cils, mèches et articles simil., en cheveux; ouvrages en cheveux n.d.a.</v>
      </c>
      <c r="C10848">
        <v>365000</v>
      </c>
      <c r="D10848">
        <v>80</v>
      </c>
    </row>
    <row r="10849" spans="1:4" x14ac:dyDescent="0.25">
      <c r="A10849" t="str">
        <f>T("   681019")</f>
        <v xml:space="preserve">   681019</v>
      </c>
      <c r="B10849"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849">
        <v>14115939</v>
      </c>
      <c r="D10849">
        <v>13018</v>
      </c>
    </row>
    <row r="10850" spans="1:4" x14ac:dyDescent="0.25">
      <c r="A10850" t="str">
        <f>T("   681099")</f>
        <v xml:space="preserve">   681099</v>
      </c>
      <c r="B10850"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10850">
        <v>6887580</v>
      </c>
      <c r="D10850">
        <v>1220</v>
      </c>
    </row>
    <row r="10851" spans="1:4" x14ac:dyDescent="0.25">
      <c r="A10851" t="str">
        <f>T("   690790")</f>
        <v xml:space="preserve">   690790</v>
      </c>
      <c r="B10851" t="s">
        <v>335</v>
      </c>
      <c r="C10851">
        <v>2840000</v>
      </c>
      <c r="D10851">
        <v>26000</v>
      </c>
    </row>
    <row r="10852" spans="1:4" x14ac:dyDescent="0.25">
      <c r="A10852" t="str">
        <f>T("   700992")</f>
        <v xml:space="preserve">   700992</v>
      </c>
      <c r="B10852" t="str">
        <f>T("   Miroirs, en verre encadrés (sauf miroirs rétroviseurs pour véhicules)")</f>
        <v xml:space="preserve">   Miroirs, en verre encadrés (sauf miroirs rétroviseurs pour véhicules)</v>
      </c>
      <c r="C10852">
        <v>497896</v>
      </c>
      <c r="D10852">
        <v>32</v>
      </c>
    </row>
    <row r="10853" spans="1:4" x14ac:dyDescent="0.25">
      <c r="A10853" t="str">
        <f>T("   701090")</f>
        <v xml:space="preserve">   701090</v>
      </c>
      <c r="B10853" t="s">
        <v>348</v>
      </c>
      <c r="C10853">
        <v>25038308</v>
      </c>
      <c r="D10853">
        <v>58033</v>
      </c>
    </row>
    <row r="10854" spans="1:4" x14ac:dyDescent="0.25">
      <c r="A10854" t="str">
        <f>T("   701349")</f>
        <v xml:space="preserve">   701349</v>
      </c>
      <c r="B10854" t="s">
        <v>353</v>
      </c>
      <c r="C10854">
        <v>348526</v>
      </c>
      <c r="D10854">
        <v>10</v>
      </c>
    </row>
    <row r="10855" spans="1:4" x14ac:dyDescent="0.25">
      <c r="A10855" t="str">
        <f>T("   701911")</f>
        <v xml:space="preserve">   701911</v>
      </c>
      <c r="B10855" t="str">
        <f>T("   Fils de fibres de verre coupés ['chopped strands], longueur &lt;= 50 mm")</f>
        <v xml:space="preserve">   Fils de fibres de verre coupés ['chopped strands], longueur &lt;= 50 mm</v>
      </c>
      <c r="C10855">
        <v>43815844</v>
      </c>
      <c r="D10855">
        <v>11861</v>
      </c>
    </row>
    <row r="10856" spans="1:4" x14ac:dyDescent="0.25">
      <c r="A10856" t="str">
        <f>T("   701990")</f>
        <v xml:space="preserve">   701990</v>
      </c>
      <c r="B10856" t="s">
        <v>361</v>
      </c>
      <c r="C10856">
        <v>328629</v>
      </c>
      <c r="D10856">
        <v>86</v>
      </c>
    </row>
    <row r="10857" spans="1:4" x14ac:dyDescent="0.25">
      <c r="A10857" t="str">
        <f>T("   730422")</f>
        <v xml:space="preserve">   730422</v>
      </c>
      <c r="B10857" t="str">
        <f>T("   TIGES DE FORAGE SANS SOUDURE, EN ACIERS INOXYDABLES, DES TYPES UTILISÉS POUR L'EXTRACTION DU PÉTROLE OU DU GAZ")</f>
        <v xml:space="preserve">   TIGES DE FORAGE SANS SOUDURE, EN ACIERS INOXYDABLES, DES TYPES UTILISÉS POUR L'EXTRACTION DU PÉTROLE OU DU GAZ</v>
      </c>
      <c r="C10857">
        <v>39961084</v>
      </c>
      <c r="D10857">
        <v>6631</v>
      </c>
    </row>
    <row r="10858" spans="1:4" x14ac:dyDescent="0.25">
      <c r="A10858" t="str">
        <f>T("   730423")</f>
        <v xml:space="preserve">   730423</v>
      </c>
      <c r="B10858" t="str">
        <f>T("   TIGES DE FORAGE SANS SOUDURE, EN FER OU EN ACIER, DES TYPES UTILISÉS POUR L'EXTRACTION DU PÉTROLE OU DU GAZ AUTRES TIGES DE FORAGE (À L'EXCL. DES TIGES DE FORAGE EN ACIERS INOXYDABLES OU EN FONTE)")</f>
        <v xml:space="preserve">   TIGES DE FORAGE SANS SOUDURE, EN FER OU EN ACIER, DES TYPES UTILISÉS POUR L'EXTRACTION DU PÉTROLE OU DU GAZ AUTRES TIGES DE FORAGE (À L'EXCL. DES TIGES DE FORAGE EN ACIERS INOXYDABLES OU EN FONTE)</v>
      </c>
      <c r="C10858">
        <v>78074967</v>
      </c>
      <c r="D10858">
        <v>17656</v>
      </c>
    </row>
    <row r="10859" spans="1:4" x14ac:dyDescent="0.25">
      <c r="A10859" t="str">
        <f>T("   730490")</f>
        <v xml:space="preserve">   730490</v>
      </c>
      <c r="B10859" t="str">
        <f>T("   Tubes, tuyaux et profilés creux, sans soudure, de section autre que circulaire, en fer (à l'excl. de la fonte) ou en acier")</f>
        <v xml:space="preserve">   Tubes, tuyaux et profilés creux, sans soudure, de section autre que circulaire, en fer (à l'excl. de la fonte) ou en acier</v>
      </c>
      <c r="C10859">
        <v>3387935526</v>
      </c>
      <c r="D10859">
        <v>1218505</v>
      </c>
    </row>
    <row r="10860" spans="1:4" x14ac:dyDescent="0.25">
      <c r="A10860" t="str">
        <f>T("   730629")</f>
        <v xml:space="preserve">   730629</v>
      </c>
      <c r="B10860" t="str">
        <f>T("   TUBES ET TUYAUX DE CUVELAGE OU DE PRODUCTION DES TYPES UTILISÉS POUR L'EXTRACTION DU PÉTROLE OU DU GAZ, SOUDÉS, EN PRODUITS LAMINÉS PLATS EN FER OU EN ACIER, DIAMÈTRE EXTÉRIEUR &lt;= 406,4 MM (SAUF EN ACIERS INOXYDABLES OU EN FONTE)")</f>
        <v xml:space="preserve">   TUBES ET TUYAUX DE CUVELAGE OU DE PRODUCTION DES TYPES UTILISÉS POUR L'EXTRACTION DU PÉTROLE OU DU GAZ, SOUDÉS, EN PRODUITS LAMINÉS PLATS EN FER OU EN ACIER, DIAMÈTRE EXTÉRIEUR &lt;= 406,4 MM (SAUF EN ACIERS INOXYDABLES OU EN FONTE)</v>
      </c>
      <c r="C10860">
        <v>133755491</v>
      </c>
      <c r="D10860">
        <v>48322</v>
      </c>
    </row>
    <row r="10861" spans="1:4" x14ac:dyDescent="0.25">
      <c r="A10861" t="str">
        <f>T("   730792")</f>
        <v xml:space="preserve">   730792</v>
      </c>
      <c r="B10861" t="str">
        <f>T("   Coudes, courbes et manchons en fer ou en aciers, filetés (autres que moulés ou en aciers inoxydables)")</f>
        <v xml:space="preserve">   Coudes, courbes et manchons en fer ou en aciers, filetés (autres que moulés ou en aciers inoxydables)</v>
      </c>
      <c r="C10861">
        <v>1487758</v>
      </c>
      <c r="D10861">
        <v>36</v>
      </c>
    </row>
    <row r="10862" spans="1:4" x14ac:dyDescent="0.25">
      <c r="A10862" t="str">
        <f>T("   730793")</f>
        <v xml:space="preserve">   730793</v>
      </c>
      <c r="B10862" t="str">
        <f>T("   ACCESSOIRES DE TUYAUTERIE EN FER OU EN ACIERS, À SOUDER BOUT À BOUT (AUTRES QUE MOULÉS OU EN ACIERS INOXYDABLES ET SAUF BRIDES)")</f>
        <v xml:space="preserve">   ACCESSOIRES DE TUYAUTERIE EN FER OU EN ACIERS, À SOUDER BOUT À BOUT (AUTRES QUE MOULÉS OU EN ACIERS INOXYDABLES ET SAUF BRIDES)</v>
      </c>
      <c r="C10862">
        <v>521794</v>
      </c>
      <c r="D10862">
        <v>50</v>
      </c>
    </row>
    <row r="10863" spans="1:4" x14ac:dyDescent="0.25">
      <c r="A10863" t="str">
        <f>T("   730799")</f>
        <v xml:space="preserve">   730799</v>
      </c>
      <c r="B10863"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0863">
        <v>49191264</v>
      </c>
      <c r="D10863">
        <v>11265</v>
      </c>
    </row>
    <row r="10864" spans="1:4" x14ac:dyDescent="0.25">
      <c r="A10864" t="str">
        <f>T("   730890")</f>
        <v xml:space="preserve">   730890</v>
      </c>
      <c r="B10864" t="s">
        <v>376</v>
      </c>
      <c r="C10864">
        <v>2440916</v>
      </c>
      <c r="D10864">
        <v>400</v>
      </c>
    </row>
    <row r="10865" spans="1:4" x14ac:dyDescent="0.25">
      <c r="A10865" t="str">
        <f>T("   730900")</f>
        <v xml:space="preserve">   730900</v>
      </c>
      <c r="B10865" t="s">
        <v>377</v>
      </c>
      <c r="C10865">
        <v>432984804</v>
      </c>
      <c r="D10865">
        <v>51409</v>
      </c>
    </row>
    <row r="10866" spans="1:4" x14ac:dyDescent="0.25">
      <c r="A10866" t="str">
        <f>T("   731010")</f>
        <v xml:space="preserve">   731010</v>
      </c>
      <c r="B10866"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10866">
        <v>29419181</v>
      </c>
      <c r="D10866">
        <v>17500</v>
      </c>
    </row>
    <row r="10867" spans="1:4" x14ac:dyDescent="0.25">
      <c r="A10867" t="str">
        <f>T("   731029")</f>
        <v xml:space="preserve">   731029</v>
      </c>
      <c r="B10867"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0867">
        <v>4232115</v>
      </c>
      <c r="D10867">
        <v>2382</v>
      </c>
    </row>
    <row r="10868" spans="1:4" x14ac:dyDescent="0.25">
      <c r="A10868" t="str">
        <f>T("   731100")</f>
        <v xml:space="preserve">   731100</v>
      </c>
      <c r="B10868"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868">
        <v>17175759</v>
      </c>
      <c r="D10868">
        <v>1138</v>
      </c>
    </row>
    <row r="10869" spans="1:4" x14ac:dyDescent="0.25">
      <c r="A10869" t="str">
        <f>T("   731210")</f>
        <v xml:space="preserve">   731210</v>
      </c>
      <c r="B10869"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10869">
        <v>4012855</v>
      </c>
      <c r="D10869">
        <v>414</v>
      </c>
    </row>
    <row r="10870" spans="1:4" x14ac:dyDescent="0.25">
      <c r="A10870" t="str">
        <f>T("   731290")</f>
        <v xml:space="preserve">   731290</v>
      </c>
      <c r="B10870" t="str">
        <f>T("   Tresses, élingues et simil., en fer ou en acier (sauf produits isolés pour l'électricité)")</f>
        <v xml:space="preserve">   Tresses, élingues et simil., en fer ou en acier (sauf produits isolés pour l'électricité)</v>
      </c>
      <c r="C10870">
        <v>110035</v>
      </c>
      <c r="D10870">
        <v>13</v>
      </c>
    </row>
    <row r="10871" spans="1:4" x14ac:dyDescent="0.25">
      <c r="A10871" t="str">
        <f>T("   731815")</f>
        <v xml:space="preserve">   731815</v>
      </c>
      <c r="B10871" t="s">
        <v>380</v>
      </c>
      <c r="C10871">
        <v>296689717</v>
      </c>
      <c r="D10871">
        <v>3589</v>
      </c>
    </row>
    <row r="10872" spans="1:4" x14ac:dyDescent="0.25">
      <c r="A10872" t="str">
        <f>T("   731819")</f>
        <v xml:space="preserve">   731819</v>
      </c>
      <c r="B10872" t="str">
        <f>T("   Articles de boulonnerie et de visserie, filetés, en fonte, fer ou acier, n.d.a.")</f>
        <v xml:space="preserve">   Articles de boulonnerie et de visserie, filetés, en fonte, fer ou acier, n.d.a.</v>
      </c>
      <c r="C10872">
        <v>920089</v>
      </c>
      <c r="D10872">
        <v>19</v>
      </c>
    </row>
    <row r="10873" spans="1:4" x14ac:dyDescent="0.25">
      <c r="A10873" t="str">
        <f>T("   731822")</f>
        <v xml:space="preserve">   731822</v>
      </c>
      <c r="B10873" t="str">
        <f>T("   Rondelles en fonte, fer ou acier (sauf rondelles destinées à faire ressort et autres rondelles de blocage)")</f>
        <v xml:space="preserve">   Rondelles en fonte, fer ou acier (sauf rondelles destinées à faire ressort et autres rondelles de blocage)</v>
      </c>
      <c r="C10873">
        <v>32142</v>
      </c>
      <c r="D10873">
        <v>2</v>
      </c>
    </row>
    <row r="10874" spans="1:4" x14ac:dyDescent="0.25">
      <c r="A10874" t="str">
        <f>T("   731829")</f>
        <v xml:space="preserve">   731829</v>
      </c>
      <c r="B10874" t="str">
        <f>T("   Articles de boulonnerie et de visserie non filetés, en fonte, fer ou acier, n.d.a.")</f>
        <v xml:space="preserve">   Articles de boulonnerie et de visserie non filetés, en fonte, fer ou acier, n.d.a.</v>
      </c>
      <c r="C10874">
        <v>9139877</v>
      </c>
      <c r="D10874">
        <v>476</v>
      </c>
    </row>
    <row r="10875" spans="1:4" x14ac:dyDescent="0.25">
      <c r="A10875" t="str">
        <f>T("   732393")</f>
        <v xml:space="preserve">   732393</v>
      </c>
      <c r="B10875" t="s">
        <v>388</v>
      </c>
      <c r="C10875">
        <v>3390000</v>
      </c>
      <c r="D10875">
        <v>15725</v>
      </c>
    </row>
    <row r="10876" spans="1:4" x14ac:dyDescent="0.25">
      <c r="A10876" t="str">
        <f>T("   732394")</f>
        <v xml:space="preserve">   732394</v>
      </c>
      <c r="B10876" t="s">
        <v>389</v>
      </c>
      <c r="C10876">
        <v>3818576</v>
      </c>
      <c r="D10876">
        <v>6100</v>
      </c>
    </row>
    <row r="10877" spans="1:4" x14ac:dyDescent="0.25">
      <c r="A10877" t="str">
        <f>T("   732399")</f>
        <v xml:space="preserve">   732399</v>
      </c>
      <c r="B10877" t="s">
        <v>390</v>
      </c>
      <c r="C10877">
        <v>4476093</v>
      </c>
      <c r="D10877">
        <v>20291</v>
      </c>
    </row>
    <row r="10878" spans="1:4" x14ac:dyDescent="0.25">
      <c r="A10878" t="str">
        <f>T("   732690")</f>
        <v xml:space="preserve">   732690</v>
      </c>
      <c r="B1087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878">
        <v>1155666681</v>
      </c>
      <c r="D10878">
        <v>68958.899999999994</v>
      </c>
    </row>
    <row r="10879" spans="1:4" x14ac:dyDescent="0.25">
      <c r="A10879" t="str">
        <f>T("   761090")</f>
        <v xml:space="preserve">   761090</v>
      </c>
      <c r="B10879"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0879">
        <v>16027777</v>
      </c>
      <c r="D10879">
        <v>13745</v>
      </c>
    </row>
    <row r="10880" spans="1:4" x14ac:dyDescent="0.25">
      <c r="A10880" t="str">
        <f>T("   761490")</f>
        <v xml:space="preserve">   761490</v>
      </c>
      <c r="B10880" t="s">
        <v>396</v>
      </c>
      <c r="C10880">
        <v>34407258</v>
      </c>
      <c r="D10880">
        <v>2297</v>
      </c>
    </row>
    <row r="10881" spans="1:4" x14ac:dyDescent="0.25">
      <c r="A10881" t="str">
        <f>T("   820411")</f>
        <v xml:space="preserve">   820411</v>
      </c>
      <c r="B10881" t="str">
        <f>T("   Clés de serrage à main, y.c. -les clés dynamométriques-, en métaux communs, à ouverture fixe")</f>
        <v xml:space="preserve">   Clés de serrage à main, y.c. -les clés dynamométriques-, en métaux communs, à ouverture fixe</v>
      </c>
      <c r="C10881">
        <v>160984492</v>
      </c>
      <c r="D10881">
        <v>1056</v>
      </c>
    </row>
    <row r="10882" spans="1:4" x14ac:dyDescent="0.25">
      <c r="A10882" t="str">
        <f>T("   820559")</f>
        <v xml:space="preserve">   820559</v>
      </c>
      <c r="B10882" t="str">
        <f>T("   Outils à main, y.c. -les diamants de vitrier-, en métaux communs, n.d.a.")</f>
        <v xml:space="preserve">   Outils à main, y.c. -les diamants de vitrier-, en métaux communs, n.d.a.</v>
      </c>
      <c r="C10882">
        <v>10030321</v>
      </c>
      <c r="D10882">
        <v>2236</v>
      </c>
    </row>
    <row r="10883" spans="1:4" x14ac:dyDescent="0.25">
      <c r="A10883" t="str">
        <f>T("   820713")</f>
        <v xml:space="preserve">   820713</v>
      </c>
      <c r="B10883" t="str">
        <f>T("   Outils de forage ou de sondage, interchangeables, avec partie travaillante en carbures métalliques frittés ou en cermets")</f>
        <v xml:space="preserve">   Outils de forage ou de sondage, interchangeables, avec partie travaillante en carbures métalliques frittés ou en cermets</v>
      </c>
      <c r="C10883">
        <v>3878421</v>
      </c>
      <c r="D10883">
        <v>142</v>
      </c>
    </row>
    <row r="10884" spans="1:4" x14ac:dyDescent="0.25">
      <c r="A10884" t="str">
        <f>T("   820719")</f>
        <v xml:space="preserve">   820719</v>
      </c>
      <c r="B10884"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10884">
        <v>64884145</v>
      </c>
      <c r="D10884">
        <v>1538</v>
      </c>
    </row>
    <row r="10885" spans="1:4" x14ac:dyDescent="0.25">
      <c r="A10885" t="str">
        <f>T("   820750")</f>
        <v xml:space="preserve">   820750</v>
      </c>
      <c r="B10885"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10885">
        <v>528495692</v>
      </c>
      <c r="D10885">
        <v>50510</v>
      </c>
    </row>
    <row r="10886" spans="1:4" x14ac:dyDescent="0.25">
      <c r="A10886" t="str">
        <f>T("   830400")</f>
        <v xml:space="preserve">   830400</v>
      </c>
      <c r="B10886"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10886">
        <v>1421659</v>
      </c>
      <c r="D10886">
        <v>336</v>
      </c>
    </row>
    <row r="10887" spans="1:4" x14ac:dyDescent="0.25">
      <c r="A10887" t="str">
        <f>T("   840790")</f>
        <v xml:space="preserve">   840790</v>
      </c>
      <c r="B10887" t="s">
        <v>414</v>
      </c>
      <c r="C10887">
        <v>53242962</v>
      </c>
      <c r="D10887">
        <v>9425</v>
      </c>
    </row>
    <row r="10888" spans="1:4" x14ac:dyDescent="0.25">
      <c r="A10888" t="str">
        <f>T("   840820")</f>
        <v xml:space="preserve">   840820</v>
      </c>
      <c r="B10888" t="s">
        <v>415</v>
      </c>
      <c r="C10888">
        <v>700000</v>
      </c>
      <c r="D10888">
        <v>800</v>
      </c>
    </row>
    <row r="10889" spans="1:4" x14ac:dyDescent="0.25">
      <c r="A10889" t="str">
        <f>T("   840999")</f>
        <v xml:space="preserve">   840999</v>
      </c>
      <c r="B10889"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0889">
        <v>651329</v>
      </c>
      <c r="D10889">
        <v>6.4</v>
      </c>
    </row>
    <row r="10890" spans="1:4" x14ac:dyDescent="0.25">
      <c r="A10890" t="str">
        <f>T("   841221")</f>
        <v xml:space="preserve">   841221</v>
      </c>
      <c r="B10890" t="str">
        <f>T("   Moteurs hydrauliques à mouvement rectiligne -cylindres-")</f>
        <v xml:space="preserve">   Moteurs hydrauliques à mouvement rectiligne -cylindres-</v>
      </c>
      <c r="C10890">
        <v>23889548</v>
      </c>
      <c r="D10890">
        <v>2831</v>
      </c>
    </row>
    <row r="10891" spans="1:4" x14ac:dyDescent="0.25">
      <c r="A10891" t="str">
        <f>T("   841229")</f>
        <v xml:space="preserve">   841229</v>
      </c>
      <c r="B10891"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10891">
        <v>21222319</v>
      </c>
      <c r="D10891">
        <v>1104</v>
      </c>
    </row>
    <row r="10892" spans="1:4" x14ac:dyDescent="0.25">
      <c r="A10892" t="str">
        <f>T("   841231")</f>
        <v xml:space="preserve">   841231</v>
      </c>
      <c r="B10892" t="str">
        <f>T("   Moteurs pneumatiques, à mouvement rectiligne -cylindres-")</f>
        <v xml:space="preserve">   Moteurs pneumatiques, à mouvement rectiligne -cylindres-</v>
      </c>
      <c r="C10892">
        <v>164306</v>
      </c>
      <c r="D10892">
        <v>19</v>
      </c>
    </row>
    <row r="10893" spans="1:4" x14ac:dyDescent="0.25">
      <c r="A10893" t="str">
        <f>T("   841350")</f>
        <v xml:space="preserve">   841350</v>
      </c>
      <c r="B10893" t="s">
        <v>417</v>
      </c>
      <c r="C10893">
        <v>30223781</v>
      </c>
      <c r="D10893">
        <v>2441</v>
      </c>
    </row>
    <row r="10894" spans="1:4" x14ac:dyDescent="0.25">
      <c r="A10894" t="str">
        <f>T("   841360")</f>
        <v xml:space="preserve">   841360</v>
      </c>
      <c r="B10894" t="s">
        <v>418</v>
      </c>
      <c r="C10894">
        <v>3403432</v>
      </c>
      <c r="D10894">
        <v>237</v>
      </c>
    </row>
    <row r="10895" spans="1:4" x14ac:dyDescent="0.25">
      <c r="A10895" t="str">
        <f>T("   841381")</f>
        <v xml:space="preserve">   841381</v>
      </c>
      <c r="B10895" t="s">
        <v>420</v>
      </c>
      <c r="C10895">
        <v>310628823</v>
      </c>
      <c r="D10895">
        <v>49905</v>
      </c>
    </row>
    <row r="10896" spans="1:4" x14ac:dyDescent="0.25">
      <c r="A10896" t="str">
        <f>T("   841391")</f>
        <v xml:space="preserve">   841391</v>
      </c>
      <c r="B10896" t="str">
        <f>T("   Parties de pompes pour liquides, n.d.a.")</f>
        <v xml:space="preserve">   Parties de pompes pour liquides, n.d.a.</v>
      </c>
      <c r="C10896">
        <v>5764949</v>
      </c>
      <c r="D10896">
        <v>135</v>
      </c>
    </row>
    <row r="10897" spans="1:4" x14ac:dyDescent="0.25">
      <c r="A10897" t="str">
        <f>T("   841480")</f>
        <v xml:space="preserve">   841480</v>
      </c>
      <c r="B10897" t="s">
        <v>421</v>
      </c>
      <c r="C10897">
        <v>29873760</v>
      </c>
      <c r="D10897">
        <v>10285</v>
      </c>
    </row>
    <row r="10898" spans="1:4" x14ac:dyDescent="0.25">
      <c r="A10898" t="str">
        <f>T("   841510")</f>
        <v xml:space="preserve">   841510</v>
      </c>
      <c r="B10898" t="s">
        <v>422</v>
      </c>
      <c r="C10898">
        <v>7044789</v>
      </c>
      <c r="D10898">
        <v>9138</v>
      </c>
    </row>
    <row r="10899" spans="1:4" x14ac:dyDescent="0.25">
      <c r="A10899" t="str">
        <f>T("   841829")</f>
        <v xml:space="preserve">   841829</v>
      </c>
      <c r="B10899" t="str">
        <f>T("   Réfrigérateurs ménagers à absorption, non-électriques")</f>
        <v xml:space="preserve">   Réfrigérateurs ménagers à absorption, non-électriques</v>
      </c>
      <c r="C10899">
        <v>4718589</v>
      </c>
      <c r="D10899">
        <v>20888</v>
      </c>
    </row>
    <row r="10900" spans="1:4" x14ac:dyDescent="0.25">
      <c r="A10900" t="str">
        <f>T("   841850")</f>
        <v xml:space="preserve">   841850</v>
      </c>
      <c r="B10900" t="s">
        <v>427</v>
      </c>
      <c r="C10900">
        <v>68898281</v>
      </c>
      <c r="D10900">
        <v>30138</v>
      </c>
    </row>
    <row r="10901" spans="1:4" x14ac:dyDescent="0.25">
      <c r="A10901" t="str">
        <f>T("   841869")</f>
        <v xml:space="preserve">   841869</v>
      </c>
      <c r="B10901"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10901">
        <v>182204527</v>
      </c>
      <c r="D10901">
        <v>33354</v>
      </c>
    </row>
    <row r="10902" spans="1:4" x14ac:dyDescent="0.25">
      <c r="A10902" t="str">
        <f>T("   842121")</f>
        <v xml:space="preserve">   842121</v>
      </c>
      <c r="B10902" t="str">
        <f>T("   Appareils pour la filtration ou l'épuration des eaux")</f>
        <v xml:space="preserve">   Appareils pour la filtration ou l'épuration des eaux</v>
      </c>
      <c r="C10902">
        <v>383261486</v>
      </c>
      <c r="D10902">
        <v>71409</v>
      </c>
    </row>
    <row r="10903" spans="1:4" x14ac:dyDescent="0.25">
      <c r="A10903" t="str">
        <f>T("   842129")</f>
        <v xml:space="preserve">   842129</v>
      </c>
      <c r="B10903"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10903">
        <v>2795541</v>
      </c>
      <c r="D10903">
        <v>149</v>
      </c>
    </row>
    <row r="10904" spans="1:4" x14ac:dyDescent="0.25">
      <c r="A10904" t="str">
        <f>T("   842131")</f>
        <v xml:space="preserve">   842131</v>
      </c>
      <c r="B10904" t="str">
        <f>T("   Filtres d'entrée d'air pour moteurs à allumage par étincelles ou par compression")</f>
        <v xml:space="preserve">   Filtres d'entrée d'air pour moteurs à allumage par étincelles ou par compression</v>
      </c>
      <c r="C10904">
        <v>435161</v>
      </c>
      <c r="D10904">
        <v>42</v>
      </c>
    </row>
    <row r="10905" spans="1:4" x14ac:dyDescent="0.25">
      <c r="A10905" t="str">
        <f>T("   842139")</f>
        <v xml:space="preserve">   842139</v>
      </c>
      <c r="B10905"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0905">
        <v>597476</v>
      </c>
      <c r="D10905">
        <v>206</v>
      </c>
    </row>
    <row r="10906" spans="1:4" x14ac:dyDescent="0.25">
      <c r="A10906" t="str">
        <f>T("   842199")</f>
        <v xml:space="preserve">   842199</v>
      </c>
      <c r="B10906" t="str">
        <f>T("   Parties d'appareils pour la filtration ou l'épuration des liquides ou des gaz, n.d.a.")</f>
        <v xml:space="preserve">   Parties d'appareils pour la filtration ou l'épuration des liquides ou des gaz, n.d.a.</v>
      </c>
      <c r="C10906">
        <v>2206649</v>
      </c>
      <c r="D10906">
        <v>125</v>
      </c>
    </row>
    <row r="10907" spans="1:4" x14ac:dyDescent="0.25">
      <c r="A10907" t="str">
        <f>T("   842290")</f>
        <v xml:space="preserve">   842290</v>
      </c>
      <c r="B10907"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0907">
        <v>365006</v>
      </c>
      <c r="D10907">
        <v>2.27</v>
      </c>
    </row>
    <row r="10908" spans="1:4" x14ac:dyDescent="0.25">
      <c r="A10908" t="str">
        <f>T("   842389")</f>
        <v xml:space="preserve">   842389</v>
      </c>
      <c r="B10908" t="str">
        <f>T("   Appareils et instruments de pesage, portée &gt; 5000 kg")</f>
        <v xml:space="preserve">   Appareils et instruments de pesage, portée &gt; 5000 kg</v>
      </c>
      <c r="C10908">
        <v>9857111</v>
      </c>
      <c r="D10908">
        <v>1363</v>
      </c>
    </row>
    <row r="10909" spans="1:4" x14ac:dyDescent="0.25">
      <c r="A10909" t="str">
        <f>T("   842420")</f>
        <v xml:space="preserve">   842420</v>
      </c>
      <c r="B10909" t="s">
        <v>430</v>
      </c>
      <c r="C10909">
        <v>284797</v>
      </c>
      <c r="D10909">
        <v>27</v>
      </c>
    </row>
    <row r="10910" spans="1:4" x14ac:dyDescent="0.25">
      <c r="A10910" t="str">
        <f>T("   842430")</f>
        <v xml:space="preserve">   842430</v>
      </c>
      <c r="B10910" t="s">
        <v>431</v>
      </c>
      <c r="C10910">
        <v>3585055</v>
      </c>
      <c r="D10910">
        <v>849</v>
      </c>
    </row>
    <row r="10911" spans="1:4" x14ac:dyDescent="0.25">
      <c r="A10911" t="str">
        <f>T("   842490")</f>
        <v xml:space="preserve">   842490</v>
      </c>
      <c r="B10911" t="s">
        <v>432</v>
      </c>
      <c r="C10911">
        <v>229043756</v>
      </c>
      <c r="D10911">
        <v>1468</v>
      </c>
    </row>
    <row r="10912" spans="1:4" x14ac:dyDescent="0.25">
      <c r="A10912" t="str">
        <f>T("   842539")</f>
        <v xml:space="preserve">   842539</v>
      </c>
      <c r="B10912"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10912">
        <v>50049999</v>
      </c>
      <c r="D10912">
        <v>3379</v>
      </c>
    </row>
    <row r="10913" spans="1:4" x14ac:dyDescent="0.25">
      <c r="A10913" t="str">
        <f>T("   842549")</f>
        <v xml:space="preserve">   842549</v>
      </c>
      <c r="B10913" t="str">
        <f>T("   Crics et vérins, non hydrauliques")</f>
        <v xml:space="preserve">   Crics et vérins, non hydrauliques</v>
      </c>
      <c r="C10913">
        <v>7911070</v>
      </c>
      <c r="D10913">
        <v>907</v>
      </c>
    </row>
    <row r="10914" spans="1:4" x14ac:dyDescent="0.25">
      <c r="A10914" t="str">
        <f>T("   842790")</f>
        <v xml:space="preserve">   842790</v>
      </c>
      <c r="B10914" t="str">
        <f>T("   Chariots de manutention munis d'un dispositif de levage mais non autopropulsés")</f>
        <v xml:space="preserve">   Chariots de manutention munis d'un dispositif de levage mais non autopropulsés</v>
      </c>
      <c r="C10914">
        <v>34671486</v>
      </c>
      <c r="D10914">
        <v>7240</v>
      </c>
    </row>
    <row r="10915" spans="1:4" x14ac:dyDescent="0.25">
      <c r="A10915" t="str">
        <f>T("   842839")</f>
        <v xml:space="preserve">   842839</v>
      </c>
      <c r="B10915"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0915">
        <v>12424527</v>
      </c>
      <c r="D10915">
        <v>13780</v>
      </c>
    </row>
    <row r="10916" spans="1:4" x14ac:dyDescent="0.25">
      <c r="A10916" t="str">
        <f>T("   842890")</f>
        <v xml:space="preserve">   842890</v>
      </c>
      <c r="B10916" t="str">
        <f>T("   Machines et appareils de levage, chargement, déchargement ou manutention, n.d.a.")</f>
        <v xml:space="preserve">   Machines et appareils de levage, chargement, déchargement ou manutention, n.d.a.</v>
      </c>
      <c r="C10916">
        <v>168598539</v>
      </c>
      <c r="D10916">
        <v>19976</v>
      </c>
    </row>
    <row r="10917" spans="1:4" x14ac:dyDescent="0.25">
      <c r="A10917" t="str">
        <f>T("   842911")</f>
        <v xml:space="preserve">   842911</v>
      </c>
      <c r="B10917" t="str">
        <f>T("   Bouteurs 'bulldozers' et bouteurs biais 'angledozers', à chenilles")</f>
        <v xml:space="preserve">   Bouteurs 'bulldozers' et bouteurs biais 'angledozers', à chenilles</v>
      </c>
      <c r="C10917">
        <v>8000000</v>
      </c>
      <c r="D10917">
        <v>2500</v>
      </c>
    </row>
    <row r="10918" spans="1:4" x14ac:dyDescent="0.25">
      <c r="A10918" t="str">
        <f>T("   842920")</f>
        <v xml:space="preserve">   842920</v>
      </c>
      <c r="B10918" t="str">
        <f>T("   Niveleuses autopropulsées")</f>
        <v xml:space="preserve">   Niveleuses autopropulsées</v>
      </c>
      <c r="C10918">
        <v>16953347</v>
      </c>
      <c r="D10918">
        <v>21329</v>
      </c>
    </row>
    <row r="10919" spans="1:4" x14ac:dyDescent="0.25">
      <c r="A10919" t="str">
        <f>T("   842951")</f>
        <v xml:space="preserve">   842951</v>
      </c>
      <c r="B10919" t="str">
        <f>T("   Chargeuses et chargeuses-pelleteuses, à chargement frontal, autopropulsées")</f>
        <v xml:space="preserve">   Chargeuses et chargeuses-pelleteuses, à chargement frontal, autopropulsées</v>
      </c>
      <c r="C10919">
        <v>18941542</v>
      </c>
      <c r="D10919">
        <v>58209</v>
      </c>
    </row>
    <row r="10920" spans="1:4" x14ac:dyDescent="0.25">
      <c r="A10920" t="str">
        <f>T("   842959")</f>
        <v xml:space="preserve">   842959</v>
      </c>
      <c r="B1092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920">
        <v>8001188</v>
      </c>
      <c r="D10920">
        <v>33510</v>
      </c>
    </row>
    <row r="10921" spans="1:4" x14ac:dyDescent="0.25">
      <c r="A10921" t="str">
        <f>T("   843110")</f>
        <v xml:space="preserve">   843110</v>
      </c>
      <c r="B10921" t="str">
        <f>T("   Parties de palans; treuils, cabestans; crics et vérins, n.d.a.")</f>
        <v xml:space="preserve">   Parties de palans; treuils, cabestans; crics et vérins, n.d.a.</v>
      </c>
      <c r="C10921">
        <v>1110737</v>
      </c>
      <c r="D10921">
        <v>24</v>
      </c>
    </row>
    <row r="10922" spans="1:4" x14ac:dyDescent="0.25">
      <c r="A10922" t="str">
        <f>T("   843131")</f>
        <v xml:space="preserve">   843131</v>
      </c>
      <c r="B10922" t="str">
        <f>T("   Parties d'ascenseurs, monte-charge ou escaliers mécaniques, n.d.a.")</f>
        <v xml:space="preserve">   Parties d'ascenseurs, monte-charge ou escaliers mécaniques, n.d.a.</v>
      </c>
      <c r="C10922">
        <v>120645180</v>
      </c>
      <c r="D10922">
        <v>14217</v>
      </c>
    </row>
    <row r="10923" spans="1:4" x14ac:dyDescent="0.25">
      <c r="A10923" t="str">
        <f>T("   843139")</f>
        <v xml:space="preserve">   843139</v>
      </c>
      <c r="B10923" t="str">
        <f>T("   Parties de machines et appareils du n° 8428, n.d.a.")</f>
        <v xml:space="preserve">   Parties de machines et appareils du n° 8428, n.d.a.</v>
      </c>
      <c r="C10923">
        <v>20648753</v>
      </c>
      <c r="D10923">
        <v>608</v>
      </c>
    </row>
    <row r="10924" spans="1:4" x14ac:dyDescent="0.25">
      <c r="A10924" t="str">
        <f>T("   843143")</f>
        <v xml:space="preserve">   843143</v>
      </c>
      <c r="B10924" t="str">
        <f>T("   Parties de machines de sondage ou de forage du n° 8430.41 ou 8430.49, n.d.a.")</f>
        <v xml:space="preserve">   Parties de machines de sondage ou de forage du n° 8430.41 ou 8430.49, n.d.a.</v>
      </c>
      <c r="C10924">
        <v>9786944057</v>
      </c>
      <c r="D10924">
        <v>408512</v>
      </c>
    </row>
    <row r="10925" spans="1:4" x14ac:dyDescent="0.25">
      <c r="A10925" t="str">
        <f>T("   843149")</f>
        <v xml:space="preserve">   843149</v>
      </c>
      <c r="B10925" t="str">
        <f>T("   Parties de machines et appareils du n° 8426, 8429 ou 8430, n.d.a.")</f>
        <v xml:space="preserve">   Parties de machines et appareils du n° 8426, 8429 ou 8430, n.d.a.</v>
      </c>
      <c r="C10925">
        <v>2032270658</v>
      </c>
      <c r="D10925">
        <v>354817.4</v>
      </c>
    </row>
    <row r="10926" spans="1:4" x14ac:dyDescent="0.25">
      <c r="A10926" t="str">
        <f>T("   844832")</f>
        <v xml:space="preserve">   844832</v>
      </c>
      <c r="B10926" t="str">
        <f>T("   PARTIES ET ACCESSOIRES DE MACHINES POUR LA PRÉPARATION DES MATIÈRES TEXTILES, N.D.A. (AUTRES QUE LES GARNITURES DE CARDÉS)")</f>
        <v xml:space="preserve">   PARTIES ET ACCESSOIRES DE MACHINES POUR LA PRÉPARATION DES MATIÈRES TEXTILES, N.D.A. (AUTRES QUE LES GARNITURES DE CARDÉS)</v>
      </c>
      <c r="C10926">
        <v>25724649</v>
      </c>
      <c r="D10926">
        <v>1582</v>
      </c>
    </row>
    <row r="10927" spans="1:4" x14ac:dyDescent="0.25">
      <c r="A10927" t="str">
        <f>T("   844839")</f>
        <v xml:space="preserve">   844839</v>
      </c>
      <c r="B10927" t="str">
        <f>T("   Parties et accessoires des machines du n° 8445, n.d.a.")</f>
        <v xml:space="preserve">   Parties et accessoires des machines du n° 8445, n.d.a.</v>
      </c>
      <c r="C10927">
        <v>9413461</v>
      </c>
      <c r="D10927">
        <v>393</v>
      </c>
    </row>
    <row r="10928" spans="1:4" x14ac:dyDescent="0.25">
      <c r="A10928" t="str">
        <f>T("   845129")</f>
        <v xml:space="preserve">   845129</v>
      </c>
      <c r="B10928"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10928">
        <v>1461091</v>
      </c>
      <c r="D10928">
        <v>126</v>
      </c>
    </row>
    <row r="10929" spans="1:4" x14ac:dyDescent="0.25">
      <c r="A10929" t="str">
        <f>T("   846694")</f>
        <v xml:space="preserve">   846694</v>
      </c>
      <c r="B10929" t="str">
        <f>T("   Parties et accessoires pour machines-outils pour le travail du métal avec enlèvement de matière, n.d.a.")</f>
        <v xml:space="preserve">   Parties et accessoires pour machines-outils pour le travail du métal avec enlèvement de matière, n.d.a.</v>
      </c>
      <c r="C10929">
        <v>2499298</v>
      </c>
      <c r="D10929">
        <v>360</v>
      </c>
    </row>
    <row r="10930" spans="1:4" x14ac:dyDescent="0.25">
      <c r="A10930" t="str">
        <f>T("   846789")</f>
        <v xml:space="preserve">   846789</v>
      </c>
      <c r="B10930"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10930">
        <v>21578813</v>
      </c>
      <c r="D10930">
        <v>282</v>
      </c>
    </row>
    <row r="10931" spans="1:4" x14ac:dyDescent="0.25">
      <c r="A10931" t="str">
        <f>T("   846900")</f>
        <v xml:space="preserve">   846900</v>
      </c>
      <c r="B10931" t="s">
        <v>456</v>
      </c>
      <c r="C10931">
        <v>873839</v>
      </c>
      <c r="D10931">
        <v>2700</v>
      </c>
    </row>
    <row r="10932" spans="1:4" x14ac:dyDescent="0.25">
      <c r="A10932" t="str">
        <f>T("   847130")</f>
        <v xml:space="preserve">   847130</v>
      </c>
      <c r="B1093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0932">
        <v>32707732</v>
      </c>
      <c r="D10932">
        <v>1353.24</v>
      </c>
    </row>
    <row r="10933" spans="1:4" x14ac:dyDescent="0.25">
      <c r="A10933" t="str">
        <f>T("   847141")</f>
        <v xml:space="preserve">   847141</v>
      </c>
      <c r="B10933" t="s">
        <v>458</v>
      </c>
      <c r="C10933">
        <v>4028924</v>
      </c>
      <c r="D10933">
        <v>250</v>
      </c>
    </row>
    <row r="10934" spans="1:4" x14ac:dyDescent="0.25">
      <c r="A10934" t="str">
        <f>T("   847150")</f>
        <v xml:space="preserve">   847150</v>
      </c>
      <c r="B10934" t="s">
        <v>460</v>
      </c>
      <c r="C10934">
        <v>3733532</v>
      </c>
      <c r="D10934">
        <v>249</v>
      </c>
    </row>
    <row r="10935" spans="1:4" x14ac:dyDescent="0.25">
      <c r="A10935" t="str">
        <f>T("   847180")</f>
        <v xml:space="preserve">   847180</v>
      </c>
      <c r="B1093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935">
        <v>29370819</v>
      </c>
      <c r="D10935">
        <v>6312.98</v>
      </c>
    </row>
    <row r="10936" spans="1:4" x14ac:dyDescent="0.25">
      <c r="A10936" t="str">
        <f>T("   847190")</f>
        <v xml:space="preserve">   847190</v>
      </c>
      <c r="B1093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936">
        <v>83276974</v>
      </c>
      <c r="D10936">
        <v>7935</v>
      </c>
    </row>
    <row r="10937" spans="1:4" x14ac:dyDescent="0.25">
      <c r="A10937" t="str">
        <f>T("   847780")</f>
        <v xml:space="preserve">   847780</v>
      </c>
      <c r="B10937"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10937">
        <v>125000</v>
      </c>
      <c r="D10937">
        <v>70</v>
      </c>
    </row>
    <row r="10938" spans="1:4" x14ac:dyDescent="0.25">
      <c r="A10938" t="str">
        <f>T("   847981")</f>
        <v xml:space="preserve">   847981</v>
      </c>
      <c r="B10938" t="s">
        <v>465</v>
      </c>
      <c r="C10938">
        <v>271851</v>
      </c>
      <c r="D10938">
        <v>27</v>
      </c>
    </row>
    <row r="10939" spans="1:4" x14ac:dyDescent="0.25">
      <c r="A10939" t="str">
        <f>T("   847982")</f>
        <v xml:space="preserve">   847982</v>
      </c>
      <c r="B10939"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10939">
        <v>184510797</v>
      </c>
      <c r="D10939">
        <v>32561</v>
      </c>
    </row>
    <row r="10940" spans="1:4" x14ac:dyDescent="0.25">
      <c r="A10940" t="str">
        <f>T("   847989")</f>
        <v xml:space="preserve">   847989</v>
      </c>
      <c r="B10940" t="str">
        <f>T("   Machines et appareils, y.c. les appareils mécaniques, n.d.a.")</f>
        <v xml:space="preserve">   Machines et appareils, y.c. les appareils mécaniques, n.d.a.</v>
      </c>
      <c r="C10940">
        <v>376763584</v>
      </c>
      <c r="D10940">
        <v>13678</v>
      </c>
    </row>
    <row r="10941" spans="1:4" x14ac:dyDescent="0.25">
      <c r="A10941" t="str">
        <f>T("   847990")</f>
        <v xml:space="preserve">   847990</v>
      </c>
      <c r="B10941" t="str">
        <f>T("   Parties de machines et appareils, y.c. les appareils mécaniques, n.d.a.")</f>
        <v xml:space="preserve">   Parties de machines et appareils, y.c. les appareils mécaniques, n.d.a.</v>
      </c>
      <c r="C10941">
        <v>30088690</v>
      </c>
      <c r="D10941">
        <v>526</v>
      </c>
    </row>
    <row r="10942" spans="1:4" x14ac:dyDescent="0.25">
      <c r="A10942" t="str">
        <f>T("   848120")</f>
        <v xml:space="preserve">   848120</v>
      </c>
      <c r="B10942" t="str">
        <f>T("   Valves pour transmissions oléohydrauliques ou pneumatiques")</f>
        <v xml:space="preserve">   Valves pour transmissions oléohydrauliques ou pneumatiques</v>
      </c>
      <c r="C10942">
        <v>5699689</v>
      </c>
      <c r="D10942">
        <v>303</v>
      </c>
    </row>
    <row r="10943" spans="1:4" x14ac:dyDescent="0.25">
      <c r="A10943" t="str">
        <f>T("   848130")</f>
        <v xml:space="preserve">   848130</v>
      </c>
      <c r="B10943" t="str">
        <f>T("   Clapets et soupapes de retenue, pour tuyauteries, chaudières, réservoirs, cuves ou contenants simil.")</f>
        <v xml:space="preserve">   Clapets et soupapes de retenue, pour tuyauteries, chaudières, réservoirs, cuves ou contenants simil.</v>
      </c>
      <c r="C10943">
        <v>6756388</v>
      </c>
      <c r="D10943">
        <v>1195</v>
      </c>
    </row>
    <row r="10944" spans="1:4" x14ac:dyDescent="0.25">
      <c r="A10944" t="str">
        <f>T("   848140")</f>
        <v xml:space="preserve">   848140</v>
      </c>
      <c r="B10944" t="str">
        <f>T("   Soupapes de trop-plein ou de sûreté")</f>
        <v xml:space="preserve">   Soupapes de trop-plein ou de sûreté</v>
      </c>
      <c r="C10944">
        <v>798128</v>
      </c>
      <c r="D10944">
        <v>37</v>
      </c>
    </row>
    <row r="10945" spans="1:4" x14ac:dyDescent="0.25">
      <c r="A10945" t="str">
        <f>T("   848180")</f>
        <v xml:space="preserve">   848180</v>
      </c>
      <c r="B10945"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945">
        <v>394418476</v>
      </c>
      <c r="D10945">
        <v>19608</v>
      </c>
    </row>
    <row r="10946" spans="1:4" x14ac:dyDescent="0.25">
      <c r="A10946" t="str">
        <f>T("   848490")</f>
        <v xml:space="preserve">   848490</v>
      </c>
      <c r="B10946" t="str">
        <f>T("   Jeux ou assortiments de joints de composition différente présentés en pochettes, enveloppes ou emballages analogues")</f>
        <v xml:space="preserve">   Jeux ou assortiments de joints de composition différente présentés en pochettes, enveloppes ou emballages analogues</v>
      </c>
      <c r="C10946">
        <v>812073</v>
      </c>
      <c r="D10946">
        <v>67</v>
      </c>
    </row>
    <row r="10947" spans="1:4" x14ac:dyDescent="0.25">
      <c r="A10947" t="str">
        <f>T("   848790")</f>
        <v xml:space="preserve">   848790</v>
      </c>
      <c r="B10947" t="str">
        <f>T("   PARTIES DE MACHINES ET APPAREILS DU CHAPITRE 84, SANS CARACTÉRISTIQUES SPÉCIALES D'UTILISATION, N.D.A.")</f>
        <v xml:space="preserve">   PARTIES DE MACHINES ET APPAREILS DU CHAPITRE 84, SANS CARACTÉRISTIQUES SPÉCIALES D'UTILISATION, N.D.A.</v>
      </c>
      <c r="C10947">
        <v>379695</v>
      </c>
      <c r="D10947">
        <v>5</v>
      </c>
    </row>
    <row r="10948" spans="1:4" x14ac:dyDescent="0.25">
      <c r="A10948" t="str">
        <f>T("   850153")</f>
        <v xml:space="preserve">   850153</v>
      </c>
      <c r="B10948" t="str">
        <f>T("   Moteurs à courant alternatif, polyphasés, puissance &gt; 75 kW")</f>
        <v xml:space="preserve">   Moteurs à courant alternatif, polyphasés, puissance &gt; 75 kW</v>
      </c>
      <c r="C10948">
        <v>1283405</v>
      </c>
      <c r="D10948">
        <v>115</v>
      </c>
    </row>
    <row r="10949" spans="1:4" x14ac:dyDescent="0.25">
      <c r="A10949" t="str">
        <f>T("   850212")</f>
        <v xml:space="preserve">   850212</v>
      </c>
      <c r="B10949"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0949">
        <v>200000</v>
      </c>
      <c r="D10949">
        <v>700</v>
      </c>
    </row>
    <row r="10950" spans="1:4" x14ac:dyDescent="0.25">
      <c r="A10950" t="str">
        <f>T("   850220")</f>
        <v xml:space="preserve">   850220</v>
      </c>
      <c r="B10950" t="s">
        <v>472</v>
      </c>
      <c r="C10950">
        <v>50000</v>
      </c>
      <c r="D10950">
        <v>30</v>
      </c>
    </row>
    <row r="10951" spans="1:4" x14ac:dyDescent="0.25">
      <c r="A10951" t="str">
        <f>T("   850239")</f>
        <v xml:space="preserve">   850239</v>
      </c>
      <c r="B10951" t="str">
        <f>T("   Groupes électrogènes (autres qu'à énergie éolienne et à moteurs à piston)")</f>
        <v xml:space="preserve">   Groupes électrogènes (autres qu'à énergie éolienne et à moteurs à piston)</v>
      </c>
      <c r="C10951">
        <v>205150</v>
      </c>
      <c r="D10951">
        <v>1000</v>
      </c>
    </row>
    <row r="10952" spans="1:4" x14ac:dyDescent="0.25">
      <c r="A10952" t="str">
        <f>T("   850421")</f>
        <v xml:space="preserve">   850421</v>
      </c>
      <c r="B10952" t="str">
        <f>T("   Transformateurs à diélectrique liquide, puissance &lt;= 650 kVA")</f>
        <v xml:space="preserve">   Transformateurs à diélectrique liquide, puissance &lt;= 650 kVA</v>
      </c>
      <c r="C10952">
        <v>3334085</v>
      </c>
      <c r="D10952">
        <v>36</v>
      </c>
    </row>
    <row r="10953" spans="1:4" x14ac:dyDescent="0.25">
      <c r="A10953" t="str">
        <f>T("   850422")</f>
        <v xml:space="preserve">   850422</v>
      </c>
      <c r="B10953" t="str">
        <f>T("   Transformateurs à diélectrique liquide, puissance &gt; 650 kVA mais &lt;= 10.000 kVA")</f>
        <v xml:space="preserve">   Transformateurs à diélectrique liquide, puissance &gt; 650 kVA mais &lt;= 10.000 kVA</v>
      </c>
      <c r="C10953">
        <v>5591372</v>
      </c>
      <c r="D10953">
        <v>662</v>
      </c>
    </row>
    <row r="10954" spans="1:4" x14ac:dyDescent="0.25">
      <c r="A10954" t="str">
        <f>T("   850440")</f>
        <v xml:space="preserve">   850440</v>
      </c>
      <c r="B10954" t="str">
        <f>T("   CONVERTISSEURS STATIQUES")</f>
        <v xml:space="preserve">   CONVERTISSEURS STATIQUES</v>
      </c>
      <c r="C10954">
        <v>332958776</v>
      </c>
      <c r="D10954">
        <v>11897.96</v>
      </c>
    </row>
    <row r="10955" spans="1:4" x14ac:dyDescent="0.25">
      <c r="A10955" t="str">
        <f>T("   850590")</f>
        <v xml:space="preserve">   850590</v>
      </c>
      <c r="B10955"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10955">
        <v>1220240</v>
      </c>
      <c r="D10955">
        <v>289</v>
      </c>
    </row>
    <row r="10956" spans="1:4" x14ac:dyDescent="0.25">
      <c r="A10956" t="str">
        <f>T("   850650")</f>
        <v xml:space="preserve">   850650</v>
      </c>
      <c r="B10956" t="str">
        <f>T("   Piles et batteries de piles électriques, au lithium (sauf hors d'usage)")</f>
        <v xml:space="preserve">   Piles et batteries de piles électriques, au lithium (sauf hors d'usage)</v>
      </c>
      <c r="C10956">
        <v>2846969</v>
      </c>
      <c r="D10956">
        <v>189</v>
      </c>
    </row>
    <row r="10957" spans="1:4" x14ac:dyDescent="0.25">
      <c r="A10957" t="str">
        <f>T("   850780")</f>
        <v xml:space="preserve">   850780</v>
      </c>
      <c r="B10957" t="str">
        <f>T("   Accumulateurs électriques (sauf hors d'usage et autres qu'au plomb, au nickel-cadmium ou au nickel-fer)")</f>
        <v xml:space="preserve">   Accumulateurs électriques (sauf hors d'usage et autres qu'au plomb, au nickel-cadmium ou au nickel-fer)</v>
      </c>
      <c r="C10957">
        <v>2794895</v>
      </c>
      <c r="D10957">
        <v>11</v>
      </c>
    </row>
    <row r="10958" spans="1:4" x14ac:dyDescent="0.25">
      <c r="A10958" t="str">
        <f>T("   850980")</f>
        <v xml:space="preserve">   850980</v>
      </c>
      <c r="B10958" t="s">
        <v>473</v>
      </c>
      <c r="C10958">
        <v>1151308</v>
      </c>
      <c r="D10958">
        <v>2861</v>
      </c>
    </row>
    <row r="10959" spans="1:4" x14ac:dyDescent="0.25">
      <c r="A10959" t="str">
        <f>T("   850990")</f>
        <v xml:space="preserve">   850990</v>
      </c>
      <c r="B10959" t="str">
        <f>T("   Parties d'appareils électromécaniques à moteur électrique incorporé, à usage domestique, n.d.a.")</f>
        <v xml:space="preserve">   Parties d'appareils électromécaniques à moteur électrique incorporé, à usage domestique, n.d.a.</v>
      </c>
      <c r="C10959">
        <v>479570</v>
      </c>
      <c r="D10959">
        <v>220</v>
      </c>
    </row>
    <row r="10960" spans="1:4" x14ac:dyDescent="0.25">
      <c r="A10960" t="str">
        <f>T("   851180")</f>
        <v xml:space="preserve">   851180</v>
      </c>
      <c r="B10960" t="s">
        <v>474</v>
      </c>
      <c r="C10960">
        <v>11019462</v>
      </c>
      <c r="D10960">
        <v>2617</v>
      </c>
    </row>
    <row r="10961" spans="1:4" x14ac:dyDescent="0.25">
      <c r="A10961" t="str">
        <f>T("   851310")</f>
        <v xml:space="preserve">   851310</v>
      </c>
      <c r="B10961" t="str">
        <f>T("   Lampes électriques portatives, destinées à fonctionner au moyen de leur propre source d'énergie")</f>
        <v xml:space="preserve">   Lampes électriques portatives, destinées à fonctionner au moyen de leur propre source d'énergie</v>
      </c>
      <c r="C10961">
        <v>4400685</v>
      </c>
      <c r="D10961">
        <v>763</v>
      </c>
    </row>
    <row r="10962" spans="1:4" x14ac:dyDescent="0.25">
      <c r="A10962" t="str">
        <f>T("   851660")</f>
        <v xml:space="preserve">   851660</v>
      </c>
      <c r="B10962"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962">
        <v>239785</v>
      </c>
      <c r="D10962">
        <v>250</v>
      </c>
    </row>
    <row r="10963" spans="1:4" x14ac:dyDescent="0.25">
      <c r="A10963" t="str">
        <f>T("   851679")</f>
        <v xml:space="preserve">   851679</v>
      </c>
      <c r="B10963" t="s">
        <v>478</v>
      </c>
      <c r="C10963">
        <v>1577254</v>
      </c>
      <c r="D10963">
        <v>453</v>
      </c>
    </row>
    <row r="10964" spans="1:4" x14ac:dyDescent="0.25">
      <c r="A10964" t="str">
        <f>T("   851690")</f>
        <v xml:space="preserve">   851690</v>
      </c>
      <c r="B10964"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10964">
        <v>133214</v>
      </c>
      <c r="D10964">
        <v>71</v>
      </c>
    </row>
    <row r="10965" spans="1:4" x14ac:dyDescent="0.25">
      <c r="A10965" t="str">
        <f>T("   851712")</f>
        <v xml:space="preserve">   851712</v>
      </c>
      <c r="B10965" t="str">
        <f>T("   TÉLÉPHONES POUR RÉSEAUX CELLULAIRES [TÉLÉPHONES MOBILES] ET POUR AUTRES RÉSEAUX SANS FIL")</f>
        <v xml:space="preserve">   TÉLÉPHONES POUR RÉSEAUX CELLULAIRES [TÉLÉPHONES MOBILES] ET POUR AUTRES RÉSEAUX SANS FIL</v>
      </c>
      <c r="C10965">
        <v>6035755</v>
      </c>
      <c r="D10965">
        <v>1538</v>
      </c>
    </row>
    <row r="10966" spans="1:4" x14ac:dyDescent="0.25">
      <c r="A10966" t="str">
        <f>T("   851719")</f>
        <v xml:space="preserve">   851719</v>
      </c>
      <c r="B10966"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10966">
        <v>46358</v>
      </c>
      <c r="D10966">
        <v>1</v>
      </c>
    </row>
    <row r="10967" spans="1:4" x14ac:dyDescent="0.25">
      <c r="A10967" t="str">
        <f>T("   851761")</f>
        <v xml:space="preserve">   851761</v>
      </c>
      <c r="B10967" t="str">
        <f>T("   STATIONS DE BASE POUR LA TRANSMISSION OU LA RÉCEPTION DE LA VOIX, D'IMAGES OU D'AUTRES DONNÉES, D'UN RESEAU SANS FIL")</f>
        <v xml:space="preserve">   STATIONS DE BASE POUR LA TRANSMISSION OU LA RÉCEPTION DE LA VOIX, D'IMAGES OU D'AUTRES DONNÉES, D'UN RESEAU SANS FIL</v>
      </c>
      <c r="C10967">
        <v>207763537</v>
      </c>
      <c r="D10967">
        <v>6167</v>
      </c>
    </row>
    <row r="10968" spans="1:4" x14ac:dyDescent="0.25">
      <c r="A10968" t="str">
        <f>T("   851762")</f>
        <v xml:space="preserve">   851762</v>
      </c>
      <c r="B10968" t="s">
        <v>480</v>
      </c>
      <c r="C10968">
        <v>26477383</v>
      </c>
      <c r="D10968">
        <v>294</v>
      </c>
    </row>
    <row r="10969" spans="1:4" x14ac:dyDescent="0.25">
      <c r="A10969" t="str">
        <f>T("   851769")</f>
        <v xml:space="preserve">   851769</v>
      </c>
      <c r="B10969" t="s">
        <v>481</v>
      </c>
      <c r="C10969">
        <v>51594604</v>
      </c>
      <c r="D10969">
        <v>1648.55</v>
      </c>
    </row>
    <row r="10970" spans="1:4" x14ac:dyDescent="0.25">
      <c r="A10970" t="str">
        <f>T("   851770")</f>
        <v xml:space="preserve">   851770</v>
      </c>
      <c r="B10970"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10970">
        <v>13724554</v>
      </c>
      <c r="D10970">
        <v>640</v>
      </c>
    </row>
    <row r="10971" spans="1:4" x14ac:dyDescent="0.25">
      <c r="A10971" t="str">
        <f>T("   851780")</f>
        <v xml:space="preserve">   851780</v>
      </c>
      <c r="B10971" t="s">
        <v>482</v>
      </c>
      <c r="C10971">
        <v>402147</v>
      </c>
      <c r="D10971">
        <v>2</v>
      </c>
    </row>
    <row r="10972" spans="1:4" x14ac:dyDescent="0.25">
      <c r="A10972" t="str">
        <f>T("   851829")</f>
        <v xml:space="preserve">   851829</v>
      </c>
      <c r="B10972" t="str">
        <f>T("   Haut-parleurs sans enceinte")</f>
        <v xml:space="preserve">   Haut-parleurs sans enceinte</v>
      </c>
      <c r="C10972">
        <v>14649594</v>
      </c>
      <c r="D10972">
        <v>124</v>
      </c>
    </row>
    <row r="10973" spans="1:4" x14ac:dyDescent="0.25">
      <c r="A10973" t="str">
        <f>T("   851999")</f>
        <v xml:space="preserve">   851999</v>
      </c>
      <c r="B10973"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10973">
        <v>149733</v>
      </c>
      <c r="D10973">
        <v>162</v>
      </c>
    </row>
    <row r="10974" spans="1:4" x14ac:dyDescent="0.25">
      <c r="A10974" t="str">
        <f>T("   852090")</f>
        <v xml:space="preserve">   852090</v>
      </c>
      <c r="B10974"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10974">
        <v>167377</v>
      </c>
      <c r="D10974">
        <v>23.6</v>
      </c>
    </row>
    <row r="10975" spans="1:4" x14ac:dyDescent="0.25">
      <c r="A10975" t="str">
        <f>T("   852330")</f>
        <v xml:space="preserve">   852330</v>
      </c>
      <c r="B10975" t="str">
        <f>T("   Cartes munies d'une piste magnétique non enregistrée")</f>
        <v xml:space="preserve">   Cartes munies d'une piste magnétique non enregistrée</v>
      </c>
      <c r="C10975">
        <v>297645</v>
      </c>
      <c r="D10975">
        <v>6</v>
      </c>
    </row>
    <row r="10976" spans="1:4" x14ac:dyDescent="0.25">
      <c r="A10976" t="str">
        <f>T("   852380")</f>
        <v xml:space="preserve">   852380</v>
      </c>
      <c r="B10976" t="s">
        <v>490</v>
      </c>
      <c r="C10976">
        <v>571967</v>
      </c>
      <c r="D10976">
        <v>16.8</v>
      </c>
    </row>
    <row r="10977" spans="1:4" x14ac:dyDescent="0.25">
      <c r="A10977" t="str">
        <f>T("   852550")</f>
        <v xml:space="preserve">   852550</v>
      </c>
      <c r="B10977" t="str">
        <f>T("   APPAREILS D'ÉMISSION POUR LA RADIODIFFUSION OU LA TÉLÉVISION, SANS APPAREIL DE RÉCEPTION")</f>
        <v xml:space="preserve">   APPAREILS D'ÉMISSION POUR LA RADIODIFFUSION OU LA TÉLÉVISION, SANS APPAREIL DE RÉCEPTION</v>
      </c>
      <c r="C10977">
        <v>781748</v>
      </c>
      <c r="D10977">
        <v>92</v>
      </c>
    </row>
    <row r="10978" spans="1:4" x14ac:dyDescent="0.25">
      <c r="A10978" t="str">
        <f>T("   852560")</f>
        <v xml:space="preserve">   852560</v>
      </c>
      <c r="B10978" t="str">
        <f>T("   APPAREILS D'ÉMISSION POUR LA RADIODIFFUSION OU LA TÉLÉVISION, INCORPORANT UN APPAREIL DE RÉCEPTION")</f>
        <v xml:space="preserve">   APPAREILS D'ÉMISSION POUR LA RADIODIFFUSION OU LA TÉLÉVISION, INCORPORANT UN APPAREIL DE RÉCEPTION</v>
      </c>
      <c r="C10978">
        <v>177121</v>
      </c>
      <c r="D10978">
        <v>843</v>
      </c>
    </row>
    <row r="10979" spans="1:4" x14ac:dyDescent="0.25">
      <c r="A10979" t="str">
        <f>T("   852799")</f>
        <v xml:space="preserve">   852799</v>
      </c>
      <c r="B10979" t="str">
        <f>T("   RÉCEPTEURS DE RADIODIFFUSION, NE POUVANT FONCTIONNER QU'AVEC UNE SOURCE D'ÉNERGIE, NON-COMBINÉS À UN APPAREIL D'ENREGISTREMENT OU DE REPRODUCTION DU SON ET NON-COMBINÉS À UN APPAREIL D'HORLOGERIE (AUTRES QUE POUR VÉHICULES AUTOMOBILES)")</f>
        <v xml:space="preserve">   RÉCEPTEURS DE RADIODIFFUSION, NE POUVANT FONCTIONNER QU'AVEC UNE SOURCE D'ÉNERGIE, NON-COMBINÉS À UN APPAREIL D'ENREGISTREMENT OU DE REPRODUCTION DU SON ET NON-COMBINÉS À UN APPAREIL D'HORLOGERIE (AUTRES QUE POUR VÉHICULES AUTOMOBILES)</v>
      </c>
      <c r="C10979">
        <v>87388</v>
      </c>
      <c r="D10979">
        <v>800</v>
      </c>
    </row>
    <row r="10980" spans="1:4" x14ac:dyDescent="0.25">
      <c r="A10980" t="str">
        <f>T("   852849")</f>
        <v xml:space="preserve">   852849</v>
      </c>
      <c r="B10980"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10980">
        <v>752550</v>
      </c>
      <c r="D10980">
        <v>531</v>
      </c>
    </row>
    <row r="10981" spans="1:4" x14ac:dyDescent="0.25">
      <c r="A10981" t="str">
        <f>T("   852859")</f>
        <v xml:space="preserve">   852859</v>
      </c>
      <c r="B10981"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10981">
        <v>681181</v>
      </c>
      <c r="D10981">
        <v>2146</v>
      </c>
    </row>
    <row r="10982" spans="1:4" x14ac:dyDescent="0.25">
      <c r="A10982" t="str">
        <f>T("   852869")</f>
        <v xml:space="preserve">   852869</v>
      </c>
      <c r="B10982"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10982">
        <v>299464</v>
      </c>
      <c r="D10982">
        <v>26</v>
      </c>
    </row>
    <row r="10983" spans="1:4" x14ac:dyDescent="0.25">
      <c r="A10983" t="str">
        <f>T("   852872")</f>
        <v xml:space="preserve">   852872</v>
      </c>
      <c r="B10983" t="str">
        <f>T("   APPAREILS RÉCEPTEURS DE TÉLÉVISION EN COULEURS, MÊME INCORPORANT UN APPAREIL RÉCEPTEUR DE RADIODIFFUSION OU UN APPAREIL D'ENREGISTREMENT OU DE REPRODUCTION DU SON OU DES IMAGES, CONÇUS POUR INCORPORER UN DISPOSITIF D'AFFICHAGE OU UN ÉCRAN VIDÉO")</f>
        <v xml:space="preserve">   APPAREILS RÉCEPTEURS DE TÉLÉVISION EN COULEURS, MÊME INCORPORANT UN APPAREIL RÉCEPTEUR DE RADIODIFFUSION OU UN APPAREIL D'ENREGISTREMENT OU DE REPRODUCTION DU SON OU DES IMAGES, CONÇUS POUR INCORPORER UN DISPOSITIF D'AFFICHAGE OU UN ÉCRAN VIDÉO</v>
      </c>
      <c r="C10983">
        <v>248948</v>
      </c>
      <c r="D10983">
        <v>150</v>
      </c>
    </row>
    <row r="10984" spans="1:4" x14ac:dyDescent="0.25">
      <c r="A10984" t="str">
        <f>T("   852910")</f>
        <v xml:space="preserve">   852910</v>
      </c>
      <c r="B1098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984">
        <v>86362828</v>
      </c>
      <c r="D10984">
        <v>13372.4</v>
      </c>
    </row>
    <row r="10985" spans="1:4" x14ac:dyDescent="0.25">
      <c r="A10985" t="str">
        <f>T("   852990")</f>
        <v xml:space="preserve">   852990</v>
      </c>
      <c r="B10985" t="s">
        <v>496</v>
      </c>
      <c r="C10985">
        <v>6094793</v>
      </c>
      <c r="D10985">
        <v>419</v>
      </c>
    </row>
    <row r="10986" spans="1:4" x14ac:dyDescent="0.25">
      <c r="A10986" t="str">
        <f>T("   853180")</f>
        <v xml:space="preserve">   853180</v>
      </c>
      <c r="B10986" t="s">
        <v>497</v>
      </c>
      <c r="C10986">
        <v>208120</v>
      </c>
      <c r="D10986">
        <v>14</v>
      </c>
    </row>
    <row r="10987" spans="1:4" x14ac:dyDescent="0.25">
      <c r="A10987" t="str">
        <f>T("   853610")</f>
        <v xml:space="preserve">   853610</v>
      </c>
      <c r="B10987" t="str">
        <f>T("   Fusibles et coupe-circuit à fusibles, pour une tension &lt;= 1.000 V")</f>
        <v xml:space="preserve">   Fusibles et coupe-circuit à fusibles, pour une tension &lt;= 1.000 V</v>
      </c>
      <c r="C10987">
        <v>1031850</v>
      </c>
      <c r="D10987">
        <v>35</v>
      </c>
    </row>
    <row r="10988" spans="1:4" x14ac:dyDescent="0.25">
      <c r="A10988" t="str">
        <f>T("   853641")</f>
        <v xml:space="preserve">   853641</v>
      </c>
      <c r="B10988" t="str">
        <f>T("   Relais pour une tension &lt;= 60 V")</f>
        <v xml:space="preserve">   Relais pour une tension &lt;= 60 V</v>
      </c>
      <c r="C10988">
        <v>17269025</v>
      </c>
      <c r="D10988">
        <v>1170</v>
      </c>
    </row>
    <row r="10989" spans="1:4" x14ac:dyDescent="0.25">
      <c r="A10989" t="str">
        <f>T("   853650")</f>
        <v xml:space="preserve">   853650</v>
      </c>
      <c r="B10989" t="str">
        <f>T("   Interrupteurs, sectionneurs et commutateurs, pour une tension &lt;= 1.000 V (autres que relais et disjoncteurs)")</f>
        <v xml:space="preserve">   Interrupteurs, sectionneurs et commutateurs, pour une tension &lt;= 1.000 V (autres que relais et disjoncteurs)</v>
      </c>
      <c r="C10989">
        <v>797185</v>
      </c>
      <c r="D10989">
        <v>10</v>
      </c>
    </row>
    <row r="10990" spans="1:4" x14ac:dyDescent="0.25">
      <c r="A10990" t="str">
        <f>T("   853669")</f>
        <v xml:space="preserve">   853669</v>
      </c>
      <c r="B10990" t="str">
        <f>T("   Fiches et prises de courant, pour une tension &lt;= 1.000 V (sauf douilles pour lampes)")</f>
        <v xml:space="preserve">   Fiches et prises de courant, pour une tension &lt;= 1.000 V (sauf douilles pour lampes)</v>
      </c>
      <c r="C10990">
        <v>15193715</v>
      </c>
      <c r="D10990">
        <v>105</v>
      </c>
    </row>
    <row r="10991" spans="1:4" x14ac:dyDescent="0.25">
      <c r="A10991" t="str">
        <f>T("   853690")</f>
        <v xml:space="preserve">   853690</v>
      </c>
      <c r="B10991" t="s">
        <v>499</v>
      </c>
      <c r="C10991">
        <v>1388616011</v>
      </c>
      <c r="D10991">
        <v>21745</v>
      </c>
    </row>
    <row r="10992" spans="1:4" x14ac:dyDescent="0.25">
      <c r="A10992" t="str">
        <f>T("   853710")</f>
        <v xml:space="preserve">   853710</v>
      </c>
      <c r="B10992"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992">
        <v>35338355</v>
      </c>
      <c r="D10992">
        <v>6188</v>
      </c>
    </row>
    <row r="10993" spans="1:4" x14ac:dyDescent="0.25">
      <c r="A10993" t="str">
        <f>T("   853910")</f>
        <v xml:space="preserve">   853910</v>
      </c>
      <c r="B10993" t="str">
        <f>T("   Phares et projecteurs scellés")</f>
        <v xml:space="preserve">   Phares et projecteurs scellés</v>
      </c>
      <c r="C10993">
        <v>206775</v>
      </c>
      <c r="D10993">
        <v>2</v>
      </c>
    </row>
    <row r="10994" spans="1:4" x14ac:dyDescent="0.25">
      <c r="A10994" t="str">
        <f>T("   854239")</f>
        <v xml:space="preserve">   854239</v>
      </c>
      <c r="B10994" t="str">
        <f>T("   CIRCUITS INTÉGRÉS ÉLECTRONIQUES (À L'EXCL. DE CEUX UTILISÉS COMME PROCESSEURS, CONTRÔLEURS, MÉMOIRES ET AMPLIFICATEURS)")</f>
        <v xml:space="preserve">   CIRCUITS INTÉGRÉS ÉLECTRONIQUES (À L'EXCL. DE CEUX UTILISÉS COMME PROCESSEURS, CONTRÔLEURS, MÉMOIRES ET AMPLIFICATEURS)</v>
      </c>
      <c r="C10994">
        <v>1543478</v>
      </c>
      <c r="D10994">
        <v>951</v>
      </c>
    </row>
    <row r="10995" spans="1:4" x14ac:dyDescent="0.25">
      <c r="A10995" t="str">
        <f>T("   854370")</f>
        <v xml:space="preserve">   854370</v>
      </c>
      <c r="B10995" t="str">
        <f>T("   MACHINES ET APPAREILS ÉLECTRIQUES AYANT UNE FONCTION PROPRE, N.D.A. DANS LE CHAPITRE 85")</f>
        <v xml:space="preserve">   MACHINES ET APPAREILS ÉLECTRIQUES AYANT UNE FONCTION PROPRE, N.D.A. DANS LE CHAPITRE 85</v>
      </c>
      <c r="C10995">
        <v>36014859</v>
      </c>
      <c r="D10995">
        <v>302</v>
      </c>
    </row>
    <row r="10996" spans="1:4" x14ac:dyDescent="0.25">
      <c r="A10996" t="str">
        <f>T("   854419")</f>
        <v xml:space="preserve">   854419</v>
      </c>
      <c r="B10996" t="str">
        <f>T("   Fils pour bobinages pour l'électricité, autres qu'en cuivre, isolés")</f>
        <v xml:space="preserve">   Fils pour bobinages pour l'électricité, autres qu'en cuivre, isolés</v>
      </c>
      <c r="C10996">
        <v>2236549</v>
      </c>
      <c r="D10996">
        <v>116</v>
      </c>
    </row>
    <row r="10997" spans="1:4" x14ac:dyDescent="0.25">
      <c r="A10997" t="str">
        <f>T("   854420")</f>
        <v xml:space="preserve">   854420</v>
      </c>
      <c r="B10997" t="str">
        <f>T("   Câbles coaxiaux et autres conducteurs électriques coaxiaux, isolés")</f>
        <v xml:space="preserve">   Câbles coaxiaux et autres conducteurs électriques coaxiaux, isolés</v>
      </c>
      <c r="C10997">
        <v>408593</v>
      </c>
      <c r="D10997">
        <v>6.4</v>
      </c>
    </row>
    <row r="10998" spans="1:4" x14ac:dyDescent="0.25">
      <c r="A10998" t="str">
        <f>T("   854449")</f>
        <v xml:space="preserve">   854449</v>
      </c>
      <c r="B10998" t="str">
        <f>T("   CONDUCTEURS ÉLECTRIQUES, POUR TENSION &lt;= 1.000 V, ISOLÉS, SANS PIÈCES DE CONNEXION, N.D.A.")</f>
        <v xml:space="preserve">   CONDUCTEURS ÉLECTRIQUES, POUR TENSION &lt;= 1.000 V, ISOLÉS, SANS PIÈCES DE CONNEXION, N.D.A.</v>
      </c>
      <c r="C10998">
        <v>56598310</v>
      </c>
      <c r="D10998">
        <v>544</v>
      </c>
    </row>
    <row r="10999" spans="1:4" x14ac:dyDescent="0.25">
      <c r="A10999" t="str">
        <f>T("   854460")</f>
        <v xml:space="preserve">   854460</v>
      </c>
      <c r="B10999" t="str">
        <f>T("   Conducteurs électriques, pour tension &gt; 1.000 V, n.d.a.")</f>
        <v xml:space="preserve">   Conducteurs électriques, pour tension &gt; 1.000 V, n.d.a.</v>
      </c>
      <c r="C10999">
        <v>2543983</v>
      </c>
      <c r="D10999">
        <v>156</v>
      </c>
    </row>
    <row r="11000" spans="1:4" x14ac:dyDescent="0.25">
      <c r="A11000" t="str">
        <f>T("   854470")</f>
        <v xml:space="preserve">   854470</v>
      </c>
      <c r="B11000"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11000">
        <v>198099376</v>
      </c>
      <c r="D11000">
        <v>23344</v>
      </c>
    </row>
    <row r="11001" spans="1:4" x14ac:dyDescent="0.25">
      <c r="A11001" t="str">
        <f>T("   860900")</f>
        <v xml:space="preserve">   860900</v>
      </c>
      <c r="B1100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1001">
        <v>463314151</v>
      </c>
      <c r="D11001">
        <v>466981</v>
      </c>
    </row>
    <row r="11002" spans="1:4" x14ac:dyDescent="0.25">
      <c r="A11002" t="str">
        <f>T("   870120")</f>
        <v xml:space="preserve">   870120</v>
      </c>
      <c r="B11002" t="str">
        <f>T("   Tracteurs routiers pour semi-remorques")</f>
        <v xml:space="preserve">   Tracteurs routiers pour semi-remorques</v>
      </c>
      <c r="C11002">
        <v>145165695</v>
      </c>
      <c r="D11002">
        <v>258480</v>
      </c>
    </row>
    <row r="11003" spans="1:4" x14ac:dyDescent="0.25">
      <c r="A11003" t="str">
        <f>T("   870190")</f>
        <v xml:space="preserve">   870190</v>
      </c>
      <c r="B11003"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1003">
        <v>19642506</v>
      </c>
      <c r="D11003">
        <v>9155</v>
      </c>
    </row>
    <row r="11004" spans="1:4" x14ac:dyDescent="0.25">
      <c r="A11004" t="str">
        <f>T("   870210")</f>
        <v xml:space="preserve">   870210</v>
      </c>
      <c r="B11004" t="s">
        <v>503</v>
      </c>
      <c r="C11004">
        <v>48126865</v>
      </c>
      <c r="D11004">
        <v>41587</v>
      </c>
    </row>
    <row r="11005" spans="1:4" x14ac:dyDescent="0.25">
      <c r="A11005" t="str">
        <f>T("   870290")</f>
        <v xml:space="preserve">   870290</v>
      </c>
      <c r="B11005" t="s">
        <v>504</v>
      </c>
      <c r="C11005">
        <v>161626533</v>
      </c>
      <c r="D11005">
        <v>85846</v>
      </c>
    </row>
    <row r="11006" spans="1:4" x14ac:dyDescent="0.25">
      <c r="A11006" t="str">
        <f>T("   870321")</f>
        <v xml:space="preserve">   870321</v>
      </c>
      <c r="B11006" t="s">
        <v>505</v>
      </c>
      <c r="C11006">
        <v>16656539</v>
      </c>
      <c r="D11006">
        <v>4103</v>
      </c>
    </row>
    <row r="11007" spans="1:4" x14ac:dyDescent="0.25">
      <c r="A11007" t="str">
        <f>T("   870322")</f>
        <v xml:space="preserve">   870322</v>
      </c>
      <c r="B11007" t="s">
        <v>506</v>
      </c>
      <c r="C11007">
        <v>1494551914</v>
      </c>
      <c r="D11007">
        <v>2682344</v>
      </c>
    </row>
    <row r="11008" spans="1:4" x14ac:dyDescent="0.25">
      <c r="A11008" t="str">
        <f>T("   870323")</f>
        <v xml:space="preserve">   870323</v>
      </c>
      <c r="B11008" t="s">
        <v>507</v>
      </c>
      <c r="C11008">
        <v>5555210654</v>
      </c>
      <c r="D11008">
        <v>3147982</v>
      </c>
    </row>
    <row r="11009" spans="1:4" x14ac:dyDescent="0.25">
      <c r="A11009" t="str">
        <f>T("   870324")</f>
        <v xml:space="preserve">   870324</v>
      </c>
      <c r="B11009" t="s">
        <v>508</v>
      </c>
      <c r="C11009">
        <v>3268535599</v>
      </c>
      <c r="D11009">
        <v>1427401</v>
      </c>
    </row>
    <row r="11010" spans="1:4" x14ac:dyDescent="0.25">
      <c r="A11010" t="str">
        <f>T("   870331")</f>
        <v xml:space="preserve">   870331</v>
      </c>
      <c r="B11010" t="s">
        <v>509</v>
      </c>
      <c r="C11010">
        <v>1273103</v>
      </c>
      <c r="D11010">
        <v>1400</v>
      </c>
    </row>
    <row r="11011" spans="1:4" x14ac:dyDescent="0.25">
      <c r="A11011" t="str">
        <f>T("   870332")</f>
        <v xml:space="preserve">   870332</v>
      </c>
      <c r="B11011" t="s">
        <v>510</v>
      </c>
      <c r="C11011">
        <v>28725153</v>
      </c>
      <c r="D11011">
        <v>24181</v>
      </c>
    </row>
    <row r="11012" spans="1:4" x14ac:dyDescent="0.25">
      <c r="A11012" t="str">
        <f>T("   870333")</f>
        <v xml:space="preserve">   870333</v>
      </c>
      <c r="B11012" t="s">
        <v>511</v>
      </c>
      <c r="C11012">
        <v>84526953</v>
      </c>
      <c r="D11012">
        <v>33271</v>
      </c>
    </row>
    <row r="11013" spans="1:4" x14ac:dyDescent="0.25">
      <c r="A11013" t="str">
        <f>T("   870410")</f>
        <v xml:space="preserve">   870410</v>
      </c>
      <c r="B11013" t="str">
        <f>T("   Tombereaux automoteurs utilisés en dehors du réseau routier")</f>
        <v xml:space="preserve">   Tombereaux automoteurs utilisés en dehors du réseau routier</v>
      </c>
      <c r="C11013">
        <v>38135000</v>
      </c>
      <c r="D11013">
        <v>19378</v>
      </c>
    </row>
    <row r="11014" spans="1:4" x14ac:dyDescent="0.25">
      <c r="A11014" t="str">
        <f>T("   870421")</f>
        <v xml:space="preserve">   870421</v>
      </c>
      <c r="B11014" t="s">
        <v>512</v>
      </c>
      <c r="C11014">
        <v>160244815</v>
      </c>
      <c r="D11014">
        <v>93481</v>
      </c>
    </row>
    <row r="11015" spans="1:4" x14ac:dyDescent="0.25">
      <c r="A11015" t="str">
        <f>T("   870422")</f>
        <v xml:space="preserve">   870422</v>
      </c>
      <c r="B11015" t="s">
        <v>513</v>
      </c>
      <c r="C11015">
        <v>38314713</v>
      </c>
      <c r="D11015">
        <v>49294</v>
      </c>
    </row>
    <row r="11016" spans="1:4" x14ac:dyDescent="0.25">
      <c r="A11016" t="str">
        <f>T("   870423")</f>
        <v xml:space="preserve">   870423</v>
      </c>
      <c r="B11016" t="s">
        <v>514</v>
      </c>
      <c r="C11016">
        <v>41420366</v>
      </c>
      <c r="D11016">
        <v>62368</v>
      </c>
    </row>
    <row r="11017" spans="1:4" x14ac:dyDescent="0.25">
      <c r="A11017" t="str">
        <f>T("   870431")</f>
        <v xml:space="preserve">   870431</v>
      </c>
      <c r="B11017" t="s">
        <v>515</v>
      </c>
      <c r="C11017">
        <v>364047611</v>
      </c>
      <c r="D11017">
        <v>195157</v>
      </c>
    </row>
    <row r="11018" spans="1:4" x14ac:dyDescent="0.25">
      <c r="A11018" t="str">
        <f>T("   870432")</f>
        <v xml:space="preserve">   870432</v>
      </c>
      <c r="B11018" t="s">
        <v>516</v>
      </c>
      <c r="C11018">
        <v>18646098</v>
      </c>
      <c r="D11018">
        <v>9735</v>
      </c>
    </row>
    <row r="11019" spans="1:4" x14ac:dyDescent="0.25">
      <c r="A11019" t="str">
        <f>T("   870490")</f>
        <v xml:space="preserve">   870490</v>
      </c>
      <c r="B11019"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1019">
        <v>4500020</v>
      </c>
      <c r="D11019">
        <v>2294</v>
      </c>
    </row>
    <row r="11020" spans="1:4" x14ac:dyDescent="0.25">
      <c r="A11020" t="str">
        <f>T("   870510")</f>
        <v xml:space="preserve">   870510</v>
      </c>
      <c r="B11020" t="str">
        <f>T("   Camions-grues (sauf dépanneuses)")</f>
        <v xml:space="preserve">   Camions-grues (sauf dépanneuses)</v>
      </c>
      <c r="C11020">
        <v>13968075</v>
      </c>
      <c r="D11020">
        <v>7530</v>
      </c>
    </row>
    <row r="11021" spans="1:4" x14ac:dyDescent="0.25">
      <c r="A11021" t="str">
        <f>T("   870540")</f>
        <v xml:space="preserve">   870540</v>
      </c>
      <c r="B11021" t="str">
        <f>T("   Camions-bétonnières")</f>
        <v xml:space="preserve">   Camions-bétonnières</v>
      </c>
      <c r="C11021">
        <v>65131600</v>
      </c>
      <c r="D11021">
        <v>24294</v>
      </c>
    </row>
    <row r="11022" spans="1:4" x14ac:dyDescent="0.25">
      <c r="A11022" t="str">
        <f>T("   870590")</f>
        <v xml:space="preserve">   870590</v>
      </c>
      <c r="B11022" t="s">
        <v>517</v>
      </c>
      <c r="C11022">
        <v>13654430</v>
      </c>
      <c r="D11022">
        <v>6572</v>
      </c>
    </row>
    <row r="11023" spans="1:4" x14ac:dyDescent="0.25">
      <c r="A11023" t="str">
        <f>T("   870829")</f>
        <v xml:space="preserve">   870829</v>
      </c>
      <c r="B11023" t="s">
        <v>519</v>
      </c>
      <c r="C11023">
        <v>140000</v>
      </c>
      <c r="D11023">
        <v>173</v>
      </c>
    </row>
    <row r="11024" spans="1:4" x14ac:dyDescent="0.25">
      <c r="A11024" t="str">
        <f>T("   870899")</f>
        <v xml:space="preserve">   870899</v>
      </c>
      <c r="B1102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024">
        <v>3010860</v>
      </c>
      <c r="D11024">
        <v>966</v>
      </c>
    </row>
    <row r="11025" spans="1:4" x14ac:dyDescent="0.25">
      <c r="A11025" t="str">
        <f>T("   871120")</f>
        <v xml:space="preserve">   871120</v>
      </c>
      <c r="B11025" t="str">
        <f>T("   Motocycles à moteur à piston alternatif, cylindrée &gt; 50 cm³ mais &lt;= 250 cm³")</f>
        <v xml:space="preserve">   Motocycles à moteur à piston alternatif, cylindrée &gt; 50 cm³ mais &lt;= 250 cm³</v>
      </c>
      <c r="C11025">
        <v>190000</v>
      </c>
      <c r="D11025">
        <v>100</v>
      </c>
    </row>
    <row r="11026" spans="1:4" x14ac:dyDescent="0.25">
      <c r="A11026" t="str">
        <f>T("   871130")</f>
        <v xml:space="preserve">   871130</v>
      </c>
      <c r="B11026" t="str">
        <f>T("   Motocycles à moteur à piston alternatif, cylindrée &gt; 250 cm³ mais &lt;= 500 cm³")</f>
        <v xml:space="preserve">   Motocycles à moteur à piston alternatif, cylindrée &gt; 250 cm³ mais &lt;= 500 cm³</v>
      </c>
      <c r="C11026">
        <v>1220000</v>
      </c>
      <c r="D11026">
        <v>924</v>
      </c>
    </row>
    <row r="11027" spans="1:4" x14ac:dyDescent="0.25">
      <c r="A11027" t="str">
        <f>T("   871140")</f>
        <v xml:space="preserve">   871140</v>
      </c>
      <c r="B11027" t="str">
        <f>T("   Motocycles à moteur à piston alternatif, cylindrée &gt; 500 cm³ mais &lt;= 800 cm³")</f>
        <v xml:space="preserve">   Motocycles à moteur à piston alternatif, cylindrée &gt; 500 cm³ mais &lt;= 800 cm³</v>
      </c>
      <c r="C11027">
        <v>350000</v>
      </c>
      <c r="D11027">
        <v>250</v>
      </c>
    </row>
    <row r="11028" spans="1:4" x14ac:dyDescent="0.25">
      <c r="A11028" t="str">
        <f>T("   871150")</f>
        <v xml:space="preserve">   871150</v>
      </c>
      <c r="B11028" t="str">
        <f>T("   Motocycles à moteur à piston alternatif, cylindrée &gt; 800 cm³")</f>
        <v xml:space="preserve">   Motocycles à moteur à piston alternatif, cylindrée &gt; 800 cm³</v>
      </c>
      <c r="C11028">
        <v>875000</v>
      </c>
      <c r="D11028">
        <v>431</v>
      </c>
    </row>
    <row r="11029" spans="1:4" x14ac:dyDescent="0.25">
      <c r="A11029" t="str">
        <f>T("   871190")</f>
        <v xml:space="preserve">   871190</v>
      </c>
      <c r="B11029" t="str">
        <f>T("   Side-cars")</f>
        <v xml:space="preserve">   Side-cars</v>
      </c>
      <c r="C11029">
        <v>2950000</v>
      </c>
      <c r="D11029">
        <v>1588</v>
      </c>
    </row>
    <row r="11030" spans="1:4" x14ac:dyDescent="0.25">
      <c r="A11030" t="str">
        <f>T("   871200")</f>
        <v xml:space="preserve">   871200</v>
      </c>
      <c r="B11030" t="str">
        <f>T("   BICYCLETTES ET AUTRES CYCLES, -Y.C. LES TRIPORTEURS-, SANS MOTEUR")</f>
        <v xml:space="preserve">   BICYCLETTES ET AUTRES CYCLES, -Y.C. LES TRIPORTEURS-, SANS MOTEUR</v>
      </c>
      <c r="C11030">
        <v>17458272</v>
      </c>
      <c r="D11030">
        <v>79711</v>
      </c>
    </row>
    <row r="11031" spans="1:4" x14ac:dyDescent="0.25">
      <c r="A11031" t="str">
        <f>T("   871419")</f>
        <v xml:space="preserve">   871419</v>
      </c>
      <c r="B11031" t="str">
        <f>T("   Parties et accessoires de motocycles, y.c. de cyclomoteurs, n.d.a.")</f>
        <v xml:space="preserve">   Parties et accessoires de motocycles, y.c. de cyclomoteurs, n.d.a.</v>
      </c>
      <c r="C11031">
        <v>100000</v>
      </c>
      <c r="D11031">
        <v>60</v>
      </c>
    </row>
    <row r="11032" spans="1:4" x14ac:dyDescent="0.25">
      <c r="A11032" t="str">
        <f>T("   871639")</f>
        <v xml:space="preserve">   871639</v>
      </c>
      <c r="B11032"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11032">
        <v>4000000</v>
      </c>
      <c r="D11032">
        <v>17140</v>
      </c>
    </row>
    <row r="11033" spans="1:4" x14ac:dyDescent="0.25">
      <c r="A11033" t="str">
        <f>T("   871640")</f>
        <v xml:space="preserve">   871640</v>
      </c>
      <c r="B1103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1033">
        <v>4750000</v>
      </c>
      <c r="D11033">
        <v>10104</v>
      </c>
    </row>
    <row r="11034" spans="1:4" x14ac:dyDescent="0.25">
      <c r="A11034" t="str">
        <f>T("   880310")</f>
        <v xml:space="preserve">   880310</v>
      </c>
      <c r="B11034" t="str">
        <f>T("   Hélices et rotors, leurs parties, pour aéronefs, n.d.a.")</f>
        <v xml:space="preserve">   Hélices et rotors, leurs parties, pour aéronefs, n.d.a.</v>
      </c>
      <c r="C11034">
        <v>1076200</v>
      </c>
      <c r="D11034">
        <v>35</v>
      </c>
    </row>
    <row r="11035" spans="1:4" x14ac:dyDescent="0.25">
      <c r="A11035" t="str">
        <f>T("   880330")</f>
        <v xml:space="preserve">   880330</v>
      </c>
      <c r="B11035" t="str">
        <f>T("   Parties d'avions ou d'hélicoptères, n.d.a. (sauf planeurs)")</f>
        <v xml:space="preserve">   Parties d'avions ou d'hélicoptères, n.d.a. (sauf planeurs)</v>
      </c>
      <c r="C11035">
        <v>3457888</v>
      </c>
      <c r="D11035">
        <v>1</v>
      </c>
    </row>
    <row r="11036" spans="1:4" x14ac:dyDescent="0.25">
      <c r="A11036" t="str">
        <f>T("   890190")</f>
        <v xml:space="preserve">   890190</v>
      </c>
      <c r="B11036"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11036">
        <v>235430124</v>
      </c>
      <c r="D11036">
        <v>16715</v>
      </c>
    </row>
    <row r="11037" spans="1:4" x14ac:dyDescent="0.25">
      <c r="A11037" t="str">
        <f>T("   890399")</f>
        <v xml:space="preserve">   890399</v>
      </c>
      <c r="B11037"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1037">
        <v>23071992015</v>
      </c>
      <c r="D11037">
        <v>5586150</v>
      </c>
    </row>
    <row r="11038" spans="1:4" x14ac:dyDescent="0.25">
      <c r="A11038" t="str">
        <f>T("   890520")</f>
        <v xml:space="preserve">   890520</v>
      </c>
      <c r="B11038" t="str">
        <f>T("   Plates-formes de forage ou d'exploitation, flottantes ou submersibles")</f>
        <v xml:space="preserve">   Plates-formes de forage ou d'exploitation, flottantes ou submersibles</v>
      </c>
      <c r="C11038">
        <v>442724473349</v>
      </c>
      <c r="D11038">
        <v>50971000</v>
      </c>
    </row>
    <row r="11039" spans="1:4" x14ac:dyDescent="0.25">
      <c r="A11039" t="str">
        <f>T("   890690")</f>
        <v xml:space="preserve">   890690</v>
      </c>
      <c r="B11039" t="str">
        <f>T("   Bateaux, y.c. les bateaux de sauvetage (à l'excl. des navires de guerre, des bateaux à rames et autres bateaux du n° 8901 à 8905 et des bateaux à dépecer)")</f>
        <v xml:space="preserve">   Bateaux, y.c. les bateaux de sauvetage (à l'excl. des navires de guerre, des bateaux à rames et autres bateaux du n° 8901 à 8905 et des bateaux à dépecer)</v>
      </c>
      <c r="C11039">
        <v>357896607</v>
      </c>
      <c r="D11039">
        <v>42405</v>
      </c>
    </row>
    <row r="11040" spans="1:4" x14ac:dyDescent="0.25">
      <c r="A11040" t="str">
        <f>T("   890790")</f>
        <v xml:space="preserve">   890790</v>
      </c>
      <c r="B11040"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11040">
        <v>4725536</v>
      </c>
      <c r="D11040">
        <v>8165</v>
      </c>
    </row>
    <row r="11041" spans="1:4" x14ac:dyDescent="0.25">
      <c r="A11041" t="str">
        <f>T("   900490")</f>
        <v xml:space="preserve">   900490</v>
      </c>
      <c r="B11041"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11041">
        <v>56909</v>
      </c>
      <c r="D11041">
        <v>0.5</v>
      </c>
    </row>
    <row r="11042" spans="1:4" x14ac:dyDescent="0.25">
      <c r="A11042" t="str">
        <f>T("   900840")</f>
        <v xml:space="preserve">   900840</v>
      </c>
      <c r="B11042" t="str">
        <f>T("   Appareils photographiques d'agrandissement ou de réduction")</f>
        <v xml:space="preserve">   Appareils photographiques d'agrandissement ou de réduction</v>
      </c>
      <c r="C11042">
        <v>319714</v>
      </c>
      <c r="D11042">
        <v>800</v>
      </c>
    </row>
    <row r="11043" spans="1:4" x14ac:dyDescent="0.25">
      <c r="A11043" t="str">
        <f>T("   900999")</f>
        <v xml:space="preserve">   900999</v>
      </c>
      <c r="B11043"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11043">
        <v>749521</v>
      </c>
      <c r="D11043">
        <v>310.5</v>
      </c>
    </row>
    <row r="11044" spans="1:4" x14ac:dyDescent="0.25">
      <c r="A11044" t="str">
        <f>T("   901410")</f>
        <v xml:space="preserve">   901410</v>
      </c>
      <c r="B11044" t="str">
        <f>T("   Boussoles, y.c. les compas de navigation")</f>
        <v xml:space="preserve">   Boussoles, y.c. les compas de navigation</v>
      </c>
      <c r="C11044">
        <v>377268247</v>
      </c>
      <c r="D11044">
        <v>18664</v>
      </c>
    </row>
    <row r="11045" spans="1:4" x14ac:dyDescent="0.25">
      <c r="A11045" t="str">
        <f>T("   901580")</f>
        <v xml:space="preserve">   901580</v>
      </c>
      <c r="B11045" t="s">
        <v>526</v>
      </c>
      <c r="C11045">
        <v>584365599</v>
      </c>
      <c r="D11045">
        <v>41829</v>
      </c>
    </row>
    <row r="11046" spans="1:4" x14ac:dyDescent="0.25">
      <c r="A11046" t="str">
        <f>T("   901590")</f>
        <v xml:space="preserve">   901590</v>
      </c>
      <c r="B11046"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11046">
        <v>136877088</v>
      </c>
      <c r="D11046">
        <v>4911</v>
      </c>
    </row>
    <row r="11047" spans="1:4" x14ac:dyDescent="0.25">
      <c r="A11047" t="str">
        <f>T("   901720")</f>
        <v xml:space="preserve">   901720</v>
      </c>
      <c r="B11047" t="str">
        <f>T("   Instruments de dessin, de traçage et de calcul (sauf tables et machines à dessiner ainsi que calculatrices)")</f>
        <v xml:space="preserve">   Instruments de dessin, de traçage et de calcul (sauf tables et machines à dessiner ainsi que calculatrices)</v>
      </c>
      <c r="C11047">
        <v>517524</v>
      </c>
      <c r="D11047">
        <v>14.4</v>
      </c>
    </row>
    <row r="11048" spans="1:4" x14ac:dyDescent="0.25">
      <c r="A11048" t="str">
        <f>T("   901780")</f>
        <v xml:space="preserve">   901780</v>
      </c>
      <c r="B11048" t="str">
        <f>T("   Instruments de mesure de longueurs, pour emploi à la main, n.d.a.")</f>
        <v xml:space="preserve">   Instruments de mesure de longueurs, pour emploi à la main, n.d.a.</v>
      </c>
      <c r="C11048">
        <v>1918682</v>
      </c>
      <c r="D11048">
        <v>189</v>
      </c>
    </row>
    <row r="11049" spans="1:4" x14ac:dyDescent="0.25">
      <c r="A11049" t="str">
        <f>T("   901819")</f>
        <v xml:space="preserve">   901819</v>
      </c>
      <c r="B11049" t="s">
        <v>527</v>
      </c>
      <c r="C11049">
        <v>24895</v>
      </c>
      <c r="D11049">
        <v>139</v>
      </c>
    </row>
    <row r="11050" spans="1:4" x14ac:dyDescent="0.25">
      <c r="A11050" t="str">
        <f>T("   901849")</f>
        <v xml:space="preserve">   901849</v>
      </c>
      <c r="B11050" t="str">
        <f>T("   Instruments et appareils pour l'art dentaire, n.d.a.")</f>
        <v xml:space="preserve">   Instruments et appareils pour l'art dentaire, n.d.a.</v>
      </c>
      <c r="C11050">
        <v>2526822</v>
      </c>
      <c r="D11050">
        <v>10852</v>
      </c>
    </row>
    <row r="11051" spans="1:4" x14ac:dyDescent="0.25">
      <c r="A11051" t="str">
        <f>T("   901890")</f>
        <v xml:space="preserve">   901890</v>
      </c>
      <c r="B11051" t="str">
        <f>T("   Instruments et appareils pour la médecine, la chirurgie ou l'art vétérinaire, n.d.a.")</f>
        <v xml:space="preserve">   Instruments et appareils pour la médecine, la chirurgie ou l'art vétérinaire, n.d.a.</v>
      </c>
      <c r="C11051">
        <v>67226602</v>
      </c>
      <c r="D11051">
        <v>6853</v>
      </c>
    </row>
    <row r="11052" spans="1:4" x14ac:dyDescent="0.25">
      <c r="A11052" t="str">
        <f>T("   902000")</f>
        <v xml:space="preserve">   902000</v>
      </c>
      <c r="B11052"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11052">
        <v>88779330</v>
      </c>
      <c r="D11052">
        <v>6863</v>
      </c>
    </row>
    <row r="11053" spans="1:4" x14ac:dyDescent="0.25">
      <c r="A11053" t="str">
        <f>T("   902190")</f>
        <v xml:space="preserve">   902190</v>
      </c>
      <c r="B11053" t="s">
        <v>528</v>
      </c>
      <c r="C11053">
        <v>8510640</v>
      </c>
      <c r="D11053">
        <v>9023</v>
      </c>
    </row>
    <row r="11054" spans="1:4" x14ac:dyDescent="0.25">
      <c r="A11054" t="str">
        <f>T("   902214")</f>
        <v xml:space="preserve">   902214</v>
      </c>
      <c r="B11054"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11054">
        <v>5026066</v>
      </c>
      <c r="D11054">
        <v>95</v>
      </c>
    </row>
    <row r="11055" spans="1:4" x14ac:dyDescent="0.25">
      <c r="A11055" t="str">
        <f>T("   902290")</f>
        <v xml:space="preserve">   902290</v>
      </c>
      <c r="B11055" t="s">
        <v>529</v>
      </c>
      <c r="C11055">
        <v>3211087</v>
      </c>
      <c r="D11055">
        <v>25.8</v>
      </c>
    </row>
    <row r="11056" spans="1:4" x14ac:dyDescent="0.25">
      <c r="A11056" t="str">
        <f>T("   902580")</f>
        <v xml:space="preserve">   902580</v>
      </c>
      <c r="B11056" t="s">
        <v>531</v>
      </c>
      <c r="C11056">
        <v>1982124</v>
      </c>
      <c r="D11056">
        <v>57</v>
      </c>
    </row>
    <row r="11057" spans="1:4" x14ac:dyDescent="0.25">
      <c r="A11057" t="str">
        <f>T("   902610")</f>
        <v xml:space="preserve">   902610</v>
      </c>
      <c r="B11057"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1057">
        <v>1925774</v>
      </c>
      <c r="D11057">
        <v>29</v>
      </c>
    </row>
    <row r="11058" spans="1:4" x14ac:dyDescent="0.25">
      <c r="A11058" t="str">
        <f>T("   902620")</f>
        <v xml:space="preserve">   902620</v>
      </c>
      <c r="B1105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1058">
        <v>122728081</v>
      </c>
      <c r="D11058">
        <v>4301</v>
      </c>
    </row>
    <row r="11059" spans="1:4" x14ac:dyDescent="0.25">
      <c r="A11059" t="str">
        <f>T("   902690")</f>
        <v xml:space="preserve">   902690</v>
      </c>
      <c r="B11059"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11059">
        <v>135194</v>
      </c>
      <c r="D11059">
        <v>2</v>
      </c>
    </row>
    <row r="11060" spans="1:4" x14ac:dyDescent="0.25">
      <c r="A11060" t="str">
        <f>T("   902710")</f>
        <v xml:space="preserve">   902710</v>
      </c>
      <c r="B11060" t="str">
        <f>T("   Analyseurs de gaz ou de fumées")</f>
        <v xml:space="preserve">   Analyseurs de gaz ou de fumées</v>
      </c>
      <c r="C11060">
        <v>154528</v>
      </c>
      <c r="D11060">
        <v>4</v>
      </c>
    </row>
    <row r="11061" spans="1:4" x14ac:dyDescent="0.25">
      <c r="A11061" t="str">
        <f>T("   902780")</f>
        <v xml:space="preserve">   902780</v>
      </c>
      <c r="B11061"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11061">
        <v>8803348</v>
      </c>
      <c r="D11061">
        <v>144</v>
      </c>
    </row>
    <row r="11062" spans="1:4" x14ac:dyDescent="0.25">
      <c r="A11062" t="str">
        <f>T("   902910")</f>
        <v xml:space="preserve">   902910</v>
      </c>
      <c r="B11062"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11062">
        <v>1904527</v>
      </c>
      <c r="D11062">
        <v>1</v>
      </c>
    </row>
    <row r="11063" spans="1:4" x14ac:dyDescent="0.25">
      <c r="A11063" t="str">
        <f>T("   903031")</f>
        <v xml:space="preserve">   903031</v>
      </c>
      <c r="B11063"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11063">
        <v>9517448</v>
      </c>
      <c r="D11063">
        <v>33</v>
      </c>
    </row>
    <row r="11064" spans="1:4" x14ac:dyDescent="0.25">
      <c r="A11064" t="str">
        <f>T("   903032")</f>
        <v xml:space="preserve">   903032</v>
      </c>
      <c r="B11064" t="str">
        <f>T("   MULTIMÈTRES AVEC DISPOSITIF ENREGISTREUR")</f>
        <v xml:space="preserve">   MULTIMÈTRES AVEC DISPOSITIF ENREGISTREUR</v>
      </c>
      <c r="C11064">
        <v>529993</v>
      </c>
      <c r="D11064">
        <v>17</v>
      </c>
    </row>
    <row r="11065" spans="1:4" x14ac:dyDescent="0.25">
      <c r="A11065" t="str">
        <f>T("   903110")</f>
        <v xml:space="preserve">   903110</v>
      </c>
      <c r="B11065" t="str">
        <f>T("   Machines à équilibrer les pièces mécaniques")</f>
        <v xml:space="preserve">   Machines à équilibrer les pièces mécaniques</v>
      </c>
      <c r="C11065">
        <v>6014765</v>
      </c>
      <c r="D11065">
        <v>226</v>
      </c>
    </row>
    <row r="11066" spans="1:4" x14ac:dyDescent="0.25">
      <c r="A11066" t="str">
        <f>T("   903180")</f>
        <v xml:space="preserve">   903180</v>
      </c>
      <c r="B11066" t="str">
        <f>T("   INSTRUMENTS, APPAREILS ET MACHINES DE MESURE OU DE CONTRÔLE, NON-OPTIQUES, N.D.A. DANS LE PRÉSENT CHAPITRE")</f>
        <v xml:space="preserve">   INSTRUMENTS, APPAREILS ET MACHINES DE MESURE OU DE CONTRÔLE, NON-OPTIQUES, N.D.A. DANS LE PRÉSENT CHAPITRE</v>
      </c>
      <c r="C11066">
        <v>18152477</v>
      </c>
      <c r="D11066">
        <v>771</v>
      </c>
    </row>
    <row r="11067" spans="1:4" x14ac:dyDescent="0.25">
      <c r="A11067" t="str">
        <f>T("   903210")</f>
        <v xml:space="preserve">   903210</v>
      </c>
      <c r="B11067" t="str">
        <f>T("   Thermostats pour la régulation ou le contrôle automatiques")</f>
        <v xml:space="preserve">   Thermostats pour la régulation ou le contrôle automatiques</v>
      </c>
      <c r="C11067">
        <v>943513</v>
      </c>
      <c r="D11067">
        <v>63</v>
      </c>
    </row>
    <row r="11068" spans="1:4" x14ac:dyDescent="0.25">
      <c r="A11068" t="str">
        <f>T("   903300")</f>
        <v xml:space="preserve">   903300</v>
      </c>
      <c r="B11068"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11068">
        <v>276552</v>
      </c>
      <c r="D11068">
        <v>45</v>
      </c>
    </row>
    <row r="11069" spans="1:4" x14ac:dyDescent="0.25">
      <c r="A11069" t="str">
        <f>T("   930690")</f>
        <v xml:space="preserve">   930690</v>
      </c>
      <c r="B11069" t="str">
        <f>T("   Bombes, grenades, torpilles, mines, missiles et autres munitions et projectiles (à l'excl. des cartouches), et leurs parties, n.d.a.")</f>
        <v xml:space="preserve">   Bombes, grenades, torpilles, mines, missiles et autres munitions et projectiles (à l'excl. des cartouches), et leurs parties, n.d.a.</v>
      </c>
      <c r="C11069">
        <v>23147185</v>
      </c>
      <c r="D11069">
        <v>1813</v>
      </c>
    </row>
    <row r="11070" spans="1:4" x14ac:dyDescent="0.25">
      <c r="A11070" t="str">
        <f>T("   940169")</f>
        <v xml:space="preserve">   940169</v>
      </c>
      <c r="B11070" t="str">
        <f>T("   Sièges, avec bâti en bois, non rembourrés")</f>
        <v xml:space="preserve">   Sièges, avec bâti en bois, non rembourrés</v>
      </c>
      <c r="C11070">
        <v>1093954</v>
      </c>
      <c r="D11070">
        <v>189</v>
      </c>
    </row>
    <row r="11071" spans="1:4" x14ac:dyDescent="0.25">
      <c r="A11071" t="str">
        <f>T("   940180")</f>
        <v xml:space="preserve">   940180</v>
      </c>
      <c r="B11071" t="str">
        <f>T("   Sièges, n.d.a.")</f>
        <v xml:space="preserve">   Sièges, n.d.a.</v>
      </c>
      <c r="C11071">
        <v>6490000</v>
      </c>
      <c r="D11071">
        <v>2041</v>
      </c>
    </row>
    <row r="11072" spans="1:4" x14ac:dyDescent="0.25">
      <c r="A11072" t="str">
        <f>T("   940330")</f>
        <v xml:space="preserve">   940330</v>
      </c>
      <c r="B11072" t="str">
        <f>T("   Meubles de bureau en bois (sauf sièges)")</f>
        <v xml:space="preserve">   Meubles de bureau en bois (sauf sièges)</v>
      </c>
      <c r="C11072">
        <v>393576</v>
      </c>
      <c r="D11072">
        <v>1050</v>
      </c>
    </row>
    <row r="11073" spans="1:4" x14ac:dyDescent="0.25">
      <c r="A11073" t="str">
        <f>T("   940350")</f>
        <v xml:space="preserve">   940350</v>
      </c>
      <c r="B11073" t="str">
        <f>T("   Meubles pour chambres à coucher, en bois (sauf sièges)")</f>
        <v xml:space="preserve">   Meubles pour chambres à coucher, en bois (sauf sièges)</v>
      </c>
      <c r="C11073">
        <v>13300000</v>
      </c>
      <c r="D11073">
        <v>16250</v>
      </c>
    </row>
    <row r="11074" spans="1:4" x14ac:dyDescent="0.25">
      <c r="A11074" t="str">
        <f>T("   940360")</f>
        <v xml:space="preserve">   940360</v>
      </c>
      <c r="B11074" t="str">
        <f>T("   Meubles en bois (autres que pour bureaux, cuisines ou chambres à coucher et autres que sièges)")</f>
        <v xml:space="preserve">   Meubles en bois (autres que pour bureaux, cuisines ou chambres à coucher et autres que sièges)</v>
      </c>
      <c r="C11074">
        <v>23450340</v>
      </c>
      <c r="D11074">
        <v>56090</v>
      </c>
    </row>
    <row r="11075" spans="1:4" x14ac:dyDescent="0.25">
      <c r="A11075" t="str">
        <f>T("   940370")</f>
        <v xml:space="preserve">   940370</v>
      </c>
      <c r="B11075"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1075">
        <v>8638993</v>
      </c>
      <c r="D11075">
        <v>9487</v>
      </c>
    </row>
    <row r="11076" spans="1:4" x14ac:dyDescent="0.25">
      <c r="A11076" t="str">
        <f>T("   940380")</f>
        <v xml:space="preserve">   940380</v>
      </c>
      <c r="B11076" t="str">
        <f>T("   Meubles en rotin, osier, bambou ou autres matières (sauf métal, bois et matières plastiques)")</f>
        <v xml:space="preserve">   Meubles en rotin, osier, bambou ou autres matières (sauf métal, bois et matières plastiques)</v>
      </c>
      <c r="C11076">
        <v>1612512</v>
      </c>
      <c r="D11076">
        <v>8550</v>
      </c>
    </row>
    <row r="11077" spans="1:4" x14ac:dyDescent="0.25">
      <c r="A11077" t="str">
        <f>T("   940389")</f>
        <v xml:space="preserve">   940389</v>
      </c>
      <c r="B11077"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1077">
        <v>6972911</v>
      </c>
      <c r="D11077">
        <v>21678</v>
      </c>
    </row>
    <row r="11078" spans="1:4" x14ac:dyDescent="0.25">
      <c r="A11078" t="str">
        <f>T("   940390")</f>
        <v xml:space="preserve">   940390</v>
      </c>
      <c r="B1107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1078">
        <v>6180012</v>
      </c>
      <c r="D11078">
        <v>15781</v>
      </c>
    </row>
    <row r="11079" spans="1:4" x14ac:dyDescent="0.25">
      <c r="A11079" t="str">
        <f>T("   940410")</f>
        <v xml:space="preserve">   940410</v>
      </c>
      <c r="B11079" t="str">
        <f>T("   Sommiers (sauf ressorts pour sièges)")</f>
        <v xml:space="preserve">   Sommiers (sauf ressorts pour sièges)</v>
      </c>
      <c r="C11079">
        <v>2913904</v>
      </c>
      <c r="D11079">
        <v>663</v>
      </c>
    </row>
    <row r="11080" spans="1:4" x14ac:dyDescent="0.25">
      <c r="A11080" t="str">
        <f>T("   940421")</f>
        <v xml:space="preserve">   940421</v>
      </c>
      <c r="B11080" t="str">
        <f>T("   Matelas en caoutchouc alvéolaire ou en matières plastiques alvéolaires")</f>
        <v xml:space="preserve">   Matelas en caoutchouc alvéolaire ou en matières plastiques alvéolaires</v>
      </c>
      <c r="C11080">
        <v>190000</v>
      </c>
      <c r="D11080">
        <v>190</v>
      </c>
    </row>
    <row r="11081" spans="1:4" x14ac:dyDescent="0.25">
      <c r="A11081" t="str">
        <f>T("   940429")</f>
        <v xml:space="preserve">   940429</v>
      </c>
      <c r="B11081"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1081">
        <v>100000</v>
      </c>
      <c r="D11081">
        <v>971</v>
      </c>
    </row>
    <row r="11082" spans="1:4" x14ac:dyDescent="0.25">
      <c r="A11082" t="str">
        <f>T("   940490")</f>
        <v xml:space="preserve">   940490</v>
      </c>
      <c r="B11082" t="s">
        <v>537</v>
      </c>
      <c r="C11082">
        <v>11545635</v>
      </c>
      <c r="D11082">
        <v>6727</v>
      </c>
    </row>
    <row r="11083" spans="1:4" x14ac:dyDescent="0.25">
      <c r="A11083" t="str">
        <f>T("   940540")</f>
        <v xml:space="preserve">   940540</v>
      </c>
      <c r="B11083" t="str">
        <f>T("   Appareils d'éclairage électrique, n.d.a.")</f>
        <v xml:space="preserve">   Appareils d'éclairage électrique, n.d.a.</v>
      </c>
      <c r="C11083">
        <v>1892004</v>
      </c>
      <c r="D11083">
        <v>69</v>
      </c>
    </row>
    <row r="11084" spans="1:4" x14ac:dyDescent="0.25">
      <c r="A11084" t="str">
        <f>T("   940550")</f>
        <v xml:space="preserve">   940550</v>
      </c>
      <c r="B11084" t="str">
        <f>T("   Appareils d'éclairage non-électriques, n.d.a.")</f>
        <v xml:space="preserve">   Appareils d'éclairage non-électriques, n.d.a.</v>
      </c>
      <c r="C11084">
        <v>4322528</v>
      </c>
      <c r="D11084">
        <v>1488</v>
      </c>
    </row>
    <row r="11085" spans="1:4" x14ac:dyDescent="0.25">
      <c r="A11085" t="str">
        <f>T("   940600")</f>
        <v xml:space="preserve">   940600</v>
      </c>
      <c r="B11085" t="str">
        <f>T("   Constructions préfabriquées, même incomplètes ou non encore montées")</f>
        <v xml:space="preserve">   Constructions préfabriquées, même incomplètes ou non encore montées</v>
      </c>
      <c r="C11085">
        <v>118040188</v>
      </c>
      <c r="D11085">
        <v>10963</v>
      </c>
    </row>
    <row r="11086" spans="1:4" x14ac:dyDescent="0.25">
      <c r="A11086" t="str">
        <f>T("   950300")</f>
        <v xml:space="preserve">   950300</v>
      </c>
      <c r="B11086"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11086">
        <v>219747</v>
      </c>
      <c r="D11086">
        <v>4500</v>
      </c>
    </row>
    <row r="11087" spans="1:4" x14ac:dyDescent="0.25">
      <c r="A11087" t="str">
        <f>T("   950390")</f>
        <v xml:space="preserve">   950390</v>
      </c>
      <c r="B11087" t="str">
        <f>T("   Jouets, n.d.a.")</f>
        <v xml:space="preserve">   Jouets, n.d.a.</v>
      </c>
      <c r="C11087">
        <v>610120</v>
      </c>
      <c r="D11087">
        <v>6608</v>
      </c>
    </row>
    <row r="11088" spans="1:4" x14ac:dyDescent="0.25">
      <c r="A11088" t="str">
        <f>T("   950410")</f>
        <v xml:space="preserve">   950410</v>
      </c>
      <c r="B11088" t="str">
        <f>T("   Jeux vidéo des types utilisables avec un récepteur de télévision")</f>
        <v xml:space="preserve">   Jeux vidéo des types utilisables avec un récepteur de télévision</v>
      </c>
      <c r="C11088">
        <v>60330</v>
      </c>
      <c r="D11088">
        <v>105</v>
      </c>
    </row>
    <row r="11089" spans="1:4" x14ac:dyDescent="0.25">
      <c r="A11089" t="str">
        <f>T("   950440")</f>
        <v xml:space="preserve">   950440</v>
      </c>
      <c r="B11089" t="str">
        <f>T("   Cartes à jouer")</f>
        <v xml:space="preserve">   Cartes à jouer</v>
      </c>
      <c r="C11089">
        <v>488690</v>
      </c>
      <c r="D11089">
        <v>1000</v>
      </c>
    </row>
    <row r="11090" spans="1:4" x14ac:dyDescent="0.25">
      <c r="A11090" t="str">
        <f>T("   950490")</f>
        <v xml:space="preserve">   950490</v>
      </c>
      <c r="B11090" t="s">
        <v>539</v>
      </c>
      <c r="C11090">
        <v>1673242</v>
      </c>
      <c r="D11090">
        <v>1571</v>
      </c>
    </row>
    <row r="11091" spans="1:4" x14ac:dyDescent="0.25">
      <c r="A11091" t="str">
        <f>T("   950590")</f>
        <v xml:space="preserve">   950590</v>
      </c>
      <c r="B11091" t="str">
        <f>T("   Articles pour fêtes, carnaval ou autres divertissements, y.c. les articles de magie et articles-surprises, n.d.a.")</f>
        <v xml:space="preserve">   Articles pour fêtes, carnaval ou autres divertissements, y.c. les articles de magie et articles-surprises, n.d.a.</v>
      </c>
      <c r="C11091">
        <v>82854</v>
      </c>
      <c r="D11091">
        <v>5</v>
      </c>
    </row>
    <row r="11092" spans="1:4" x14ac:dyDescent="0.25">
      <c r="A11092" t="str">
        <f>T("   950699")</f>
        <v xml:space="preserve">   950699</v>
      </c>
      <c r="B11092" t="str">
        <f>T("   Articles et matériel pour le sport et les jeux de plein air, n.d.a.; piscines et pataugeoires")</f>
        <v xml:space="preserve">   Articles et matériel pour le sport et les jeux de plein air, n.d.a.; piscines et pataugeoires</v>
      </c>
      <c r="C11092">
        <v>2030181</v>
      </c>
      <c r="D11092">
        <v>376</v>
      </c>
    </row>
    <row r="11093" spans="1:4" x14ac:dyDescent="0.25">
      <c r="A11093" t="str">
        <f>T("   960110")</f>
        <v xml:space="preserve">   960110</v>
      </c>
      <c r="B11093" t="str">
        <f>T("   Ivoire travaillé et ouvrages en ivoire, n.d.a.")</f>
        <v xml:space="preserve">   Ivoire travaillé et ouvrages en ivoire, n.d.a.</v>
      </c>
      <c r="C11093">
        <v>385886</v>
      </c>
      <c r="D11093">
        <v>24</v>
      </c>
    </row>
    <row r="11094" spans="1:4" x14ac:dyDescent="0.25">
      <c r="A11094" t="str">
        <f>T("   960310")</f>
        <v xml:space="preserve">   960310</v>
      </c>
      <c r="B11094" t="str">
        <f>T("   Balais et balayettes consistant en matières végétales en bottes liées")</f>
        <v xml:space="preserve">   Balais et balayettes consistant en matières végétales en bottes liées</v>
      </c>
      <c r="C11094">
        <v>905855</v>
      </c>
      <c r="D11094">
        <v>1350</v>
      </c>
    </row>
    <row r="11095" spans="1:4" x14ac:dyDescent="0.25">
      <c r="A11095" t="str">
        <f>T("   960350")</f>
        <v xml:space="preserve">   960350</v>
      </c>
      <c r="B11095" t="str">
        <f>T("   Brosses constituant des parties de machines, d'appareils ou de véhicules")</f>
        <v xml:space="preserve">   Brosses constituant des parties de machines, d'appareils ou de véhicules</v>
      </c>
      <c r="C11095">
        <v>2231385</v>
      </c>
      <c r="D11095">
        <v>386</v>
      </c>
    </row>
    <row r="11096" spans="1:4" x14ac:dyDescent="0.25">
      <c r="A11096" t="str">
        <f>T("   960831")</f>
        <v xml:space="preserve">   960831</v>
      </c>
      <c r="B11096" t="str">
        <f>T("   Stylos à plume et autres stylos, à dessiner à l'encre de Chine")</f>
        <v xml:space="preserve">   Stylos à plume et autres stylos, à dessiner à l'encre de Chine</v>
      </c>
      <c r="C11096">
        <v>65381</v>
      </c>
      <c r="D11096">
        <v>15</v>
      </c>
    </row>
    <row r="11097" spans="1:4" x14ac:dyDescent="0.25">
      <c r="A11097" t="str">
        <f>T("   960839")</f>
        <v xml:space="preserve">   960839</v>
      </c>
      <c r="B11097" t="str">
        <f>T("   Stylos à plume et autres stylos (autres qu'à dessiner à l'encre de Chine)")</f>
        <v xml:space="preserve">   Stylos à plume et autres stylos (autres qu'à dessiner à l'encre de Chine)</v>
      </c>
      <c r="C11097">
        <v>121390</v>
      </c>
      <c r="D11097">
        <v>130</v>
      </c>
    </row>
    <row r="11098" spans="1:4" x14ac:dyDescent="0.25">
      <c r="A11098" t="str">
        <f>T("UY")</f>
        <v>UY</v>
      </c>
      <c r="B11098" t="str">
        <f>T("Uruguay")</f>
        <v>Uruguay</v>
      </c>
    </row>
    <row r="11099" spans="1:4" x14ac:dyDescent="0.25">
      <c r="A11099" t="str">
        <f>T("   ZZ_Total_Produit_SH6")</f>
        <v xml:space="preserve">   ZZ_Total_Produit_SH6</v>
      </c>
      <c r="B11099" t="str">
        <f>T("   ZZ_Total_Produit_SH6")</f>
        <v xml:space="preserve">   ZZ_Total_Produit_SH6</v>
      </c>
      <c r="C11099">
        <v>524214886.66299999</v>
      </c>
      <c r="D11099">
        <v>2323867</v>
      </c>
    </row>
    <row r="11100" spans="1:4" x14ac:dyDescent="0.25">
      <c r="A11100" t="str">
        <f>T("   020712")</f>
        <v xml:space="preserve">   020712</v>
      </c>
      <c r="B11100" t="str">
        <f>T("   COQS ET POULES [DES ESPÈCES DOMESTIQUES], NON-DÉCOUPÉS EN MORCEAUX, CONGELÉS")</f>
        <v xml:space="preserve">   COQS ET POULES [DES ESPÈCES DOMESTIQUES], NON-DÉCOUPÉS EN MORCEAUX, CONGELÉS</v>
      </c>
      <c r="C11100">
        <v>15550000</v>
      </c>
      <c r="D11100">
        <v>24810</v>
      </c>
    </row>
    <row r="11101" spans="1:4" x14ac:dyDescent="0.25">
      <c r="A11101" t="str">
        <f>T("   020714")</f>
        <v xml:space="preserve">   020714</v>
      </c>
      <c r="B11101" t="str">
        <f>T("   Morceaux et abats comestibles de coqs et de poules [des espèces domestiques], congelés")</f>
        <v xml:space="preserve">   Morceaux et abats comestibles de coqs et de poules [des espèces domestiques], congelés</v>
      </c>
      <c r="C11101">
        <v>46650188</v>
      </c>
      <c r="D11101">
        <v>75000</v>
      </c>
    </row>
    <row r="11102" spans="1:4" x14ac:dyDescent="0.25">
      <c r="A11102" t="str">
        <f>T("   030339")</f>
        <v xml:space="preserve">   030339</v>
      </c>
      <c r="B11102"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11102">
        <v>6282000</v>
      </c>
      <c r="D11102">
        <v>27920</v>
      </c>
    </row>
    <row r="11103" spans="1:4" x14ac:dyDescent="0.25">
      <c r="A11103" t="str">
        <f>T("   030379")</f>
        <v xml:space="preserve">   030379</v>
      </c>
      <c r="B11103" t="s">
        <v>16</v>
      </c>
      <c r="C11103">
        <v>153402797</v>
      </c>
      <c r="D11103">
        <v>681780</v>
      </c>
    </row>
    <row r="11104" spans="1:4" x14ac:dyDescent="0.25">
      <c r="A11104" t="str">
        <f>T("   170191")</f>
        <v xml:space="preserve">   170191</v>
      </c>
      <c r="B11104" t="str">
        <f>T("   Sucres de canne ou de betterave, à l'état solide, additionnés d'aromatisants ou de colorants")</f>
        <v xml:space="preserve">   Sucres de canne ou de betterave, à l'état solide, additionnés d'aromatisants ou de colorants</v>
      </c>
      <c r="C11104">
        <v>30294785.276000001</v>
      </c>
      <c r="D11104">
        <v>135000</v>
      </c>
    </row>
    <row r="11105" spans="1:4" x14ac:dyDescent="0.25">
      <c r="A11105" t="str">
        <f>T("   170199")</f>
        <v xml:space="preserve">   170199</v>
      </c>
      <c r="B1110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1105">
        <v>227337846.38699999</v>
      </c>
      <c r="D11105">
        <v>1050000</v>
      </c>
    </row>
    <row r="11106" spans="1:4" x14ac:dyDescent="0.25">
      <c r="A11106" t="str">
        <f>T("   170219")</f>
        <v xml:space="preserve">   170219</v>
      </c>
      <c r="B11106"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11106">
        <v>32503200</v>
      </c>
      <c r="D11106">
        <v>270860</v>
      </c>
    </row>
    <row r="11107" spans="1:4" x14ac:dyDescent="0.25">
      <c r="A11107" t="str">
        <f>T("   180610")</f>
        <v xml:space="preserve">   180610</v>
      </c>
      <c r="B11107" t="str">
        <f>T("   Poudre de cacao, additionnée de sucre ou d'autres édulcorants")</f>
        <v xml:space="preserve">   Poudre de cacao, additionnée de sucre ou d'autres édulcorants</v>
      </c>
      <c r="C11107">
        <v>2160995</v>
      </c>
      <c r="D11107">
        <v>9542</v>
      </c>
    </row>
    <row r="11108" spans="1:4" x14ac:dyDescent="0.25">
      <c r="A11108" t="str">
        <f>T("   220421")</f>
        <v xml:space="preserve">   220421</v>
      </c>
      <c r="B11108"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1108">
        <v>7146028</v>
      </c>
      <c r="D11108">
        <v>47810</v>
      </c>
    </row>
    <row r="11109" spans="1:4" x14ac:dyDescent="0.25">
      <c r="A11109" t="str">
        <f>T("   420211")</f>
        <v xml:space="preserve">   420211</v>
      </c>
      <c r="B11109"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1109">
        <v>129040</v>
      </c>
      <c r="D11109">
        <v>10</v>
      </c>
    </row>
    <row r="11110" spans="1:4" x14ac:dyDescent="0.25">
      <c r="A11110" t="str">
        <f>T("   490700")</f>
        <v xml:space="preserve">   490700</v>
      </c>
      <c r="B11110" t="s">
        <v>237</v>
      </c>
      <c r="C11110">
        <v>101450</v>
      </c>
      <c r="D11110">
        <v>28</v>
      </c>
    </row>
    <row r="11111" spans="1:4" x14ac:dyDescent="0.25">
      <c r="A11111" t="str">
        <f>T("   870322")</f>
        <v xml:space="preserve">   870322</v>
      </c>
      <c r="B11111" t="s">
        <v>506</v>
      </c>
      <c r="C11111">
        <v>2203461</v>
      </c>
      <c r="D11111">
        <v>1100</v>
      </c>
    </row>
    <row r="11112" spans="1:4" x14ac:dyDescent="0.25">
      <c r="A11112" t="str">
        <f>T("   960899")</f>
        <v xml:space="preserve">   960899</v>
      </c>
      <c r="B11112"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11112">
        <v>453096</v>
      </c>
      <c r="D11112">
        <v>7</v>
      </c>
    </row>
    <row r="11113" spans="1:4" x14ac:dyDescent="0.25">
      <c r="A11113" t="str">
        <f>T("UZ")</f>
        <v>UZ</v>
      </c>
      <c r="B11113" t="str">
        <f>T("Ouzbékistan")</f>
        <v>Ouzbékistan</v>
      </c>
    </row>
    <row r="11114" spans="1:4" x14ac:dyDescent="0.25">
      <c r="A11114" t="str">
        <f>T("   ZZ_Total_Produit_SH6")</f>
        <v xml:space="preserve">   ZZ_Total_Produit_SH6</v>
      </c>
      <c r="B11114" t="str">
        <f>T("   ZZ_Total_Produit_SH6")</f>
        <v xml:space="preserve">   ZZ_Total_Produit_SH6</v>
      </c>
      <c r="C11114">
        <v>26418129</v>
      </c>
      <c r="D11114">
        <v>3348</v>
      </c>
    </row>
    <row r="11115" spans="1:4" x14ac:dyDescent="0.25">
      <c r="A11115" t="str">
        <f>T("   491199")</f>
        <v xml:space="preserve">   491199</v>
      </c>
      <c r="B11115" t="str">
        <f>T("   Imprimés, n.d.a.")</f>
        <v xml:space="preserve">   Imprimés, n.d.a.</v>
      </c>
      <c r="C11115">
        <v>26418129</v>
      </c>
      <c r="D11115">
        <v>3348</v>
      </c>
    </row>
    <row r="11116" spans="1:4" x14ac:dyDescent="0.25">
      <c r="A11116" t="str">
        <f>T("VG")</f>
        <v>VG</v>
      </c>
      <c r="B11116" t="str">
        <f>T("Iles Vierges Britanniques")</f>
        <v>Iles Vierges Britanniques</v>
      </c>
    </row>
    <row r="11117" spans="1:4" x14ac:dyDescent="0.25">
      <c r="A11117" t="str">
        <f>T("   ZZ_Total_Produit_SH6")</f>
        <v xml:space="preserve">   ZZ_Total_Produit_SH6</v>
      </c>
      <c r="B11117" t="str">
        <f>T("   ZZ_Total_Produit_SH6")</f>
        <v xml:space="preserve">   ZZ_Total_Produit_SH6</v>
      </c>
      <c r="C11117">
        <v>2260438</v>
      </c>
      <c r="D11117">
        <v>115</v>
      </c>
    </row>
    <row r="11118" spans="1:4" x14ac:dyDescent="0.25">
      <c r="A11118" t="str">
        <f>T("   830120")</f>
        <v xml:space="preserve">   830120</v>
      </c>
      <c r="B11118" t="str">
        <f>T("   Serrures des types utilisés pour véhicules automobiles, en métaux communs")</f>
        <v xml:space="preserve">   Serrures des types utilisés pour véhicules automobiles, en métaux communs</v>
      </c>
      <c r="C11118">
        <v>95770</v>
      </c>
      <c r="D11118">
        <v>5</v>
      </c>
    </row>
    <row r="11119" spans="1:4" x14ac:dyDescent="0.25">
      <c r="A11119" t="str">
        <f>T("   842123")</f>
        <v xml:space="preserve">   842123</v>
      </c>
      <c r="B11119"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119">
        <v>341099</v>
      </c>
      <c r="D11119">
        <v>14</v>
      </c>
    </row>
    <row r="11120" spans="1:4" x14ac:dyDescent="0.25">
      <c r="A11120" t="str">
        <f>T("   851110")</f>
        <v xml:space="preserve">   851110</v>
      </c>
      <c r="B11120" t="str">
        <f>T("   Bougies d'allumage pour moteurs à allumage par étincelles ou par compression")</f>
        <v xml:space="preserve">   Bougies d'allumage pour moteurs à allumage par étincelles ou par compression</v>
      </c>
      <c r="C11120">
        <v>564782</v>
      </c>
      <c r="D11120">
        <v>30</v>
      </c>
    </row>
    <row r="11121" spans="1:4" x14ac:dyDescent="0.25">
      <c r="A11121" t="str">
        <f>T("   870899")</f>
        <v xml:space="preserve">   870899</v>
      </c>
      <c r="B1112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121">
        <v>1258787</v>
      </c>
      <c r="D11121">
        <v>66</v>
      </c>
    </row>
    <row r="11122" spans="1:4" x14ac:dyDescent="0.25">
      <c r="A11122" t="str">
        <f>T("VN")</f>
        <v>VN</v>
      </c>
      <c r="B11122" t="str">
        <f>T("Vietnam")</f>
        <v>Vietnam</v>
      </c>
    </row>
    <row r="11123" spans="1:4" x14ac:dyDescent="0.25">
      <c r="A11123" t="str">
        <f>T("   ZZ_Total_Produit_SH6")</f>
        <v xml:space="preserve">   ZZ_Total_Produit_SH6</v>
      </c>
      <c r="B11123" t="str">
        <f>T("   ZZ_Total_Produit_SH6")</f>
        <v xml:space="preserve">   ZZ_Total_Produit_SH6</v>
      </c>
      <c r="C11123">
        <v>3182307462.5760002</v>
      </c>
      <c r="D11123">
        <v>14590677</v>
      </c>
    </row>
    <row r="11124" spans="1:4" x14ac:dyDescent="0.25">
      <c r="A11124" t="str">
        <f>T("   020714")</f>
        <v xml:space="preserve">   020714</v>
      </c>
      <c r="B11124" t="str">
        <f>T("   Morceaux et abats comestibles de coqs et de poules [des espèces domestiques], congelés")</f>
        <v xml:space="preserve">   Morceaux et abats comestibles de coqs et de poules [des espèces domestiques], congelés</v>
      </c>
      <c r="C11124">
        <v>31100000</v>
      </c>
      <c r="D11124">
        <v>50000</v>
      </c>
    </row>
    <row r="11125" spans="1:4" x14ac:dyDescent="0.25">
      <c r="A11125" t="str">
        <f>T("   030219")</f>
        <v xml:space="preserve">   030219</v>
      </c>
      <c r="B11125" t="str">
        <f>T("   Salmonidés, frais ou réfrigérés (à l'excl. des truites et des saumons du Pacifique, de l'Atlantique et du Danube)")</f>
        <v xml:space="preserve">   Salmonidés, frais ou réfrigérés (à l'excl. des truites et des saumons du Pacifique, de l'Atlantique et du Danube)</v>
      </c>
      <c r="C11125">
        <v>6600270</v>
      </c>
      <c r="D11125">
        <v>24000</v>
      </c>
    </row>
    <row r="11126" spans="1:4" x14ac:dyDescent="0.25">
      <c r="A11126" t="str">
        <f>T("   030229")</f>
        <v xml:space="preserve">   030229</v>
      </c>
      <c r="B11126"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1126">
        <v>6075502</v>
      </c>
      <c r="D11126">
        <v>27000</v>
      </c>
    </row>
    <row r="11127" spans="1:4" x14ac:dyDescent="0.25">
      <c r="A11127" t="str">
        <f>T("   030269")</f>
        <v xml:space="preserve">   030269</v>
      </c>
      <c r="B11127" t="s">
        <v>15</v>
      </c>
      <c r="C11127">
        <v>11250000</v>
      </c>
      <c r="D11127">
        <v>54000</v>
      </c>
    </row>
    <row r="11128" spans="1:4" x14ac:dyDescent="0.25">
      <c r="A11128" t="str">
        <f>T("   030379")</f>
        <v xml:space="preserve">   030379</v>
      </c>
      <c r="B11128" t="s">
        <v>16</v>
      </c>
      <c r="C11128">
        <v>10350000</v>
      </c>
      <c r="D11128">
        <v>52000</v>
      </c>
    </row>
    <row r="11129" spans="1:4" x14ac:dyDescent="0.25">
      <c r="A11129" t="str">
        <f>T("   100620")</f>
        <v xml:space="preserve">   100620</v>
      </c>
      <c r="B11129" t="str">
        <f>T("   Riz décortiqué [riz cargo ou riz brun]")</f>
        <v xml:space="preserve">   Riz décortiqué [riz cargo ou riz brun]</v>
      </c>
      <c r="C11129">
        <v>41752711.670000002</v>
      </c>
      <c r="D11129">
        <v>125300</v>
      </c>
    </row>
    <row r="11130" spans="1:4" x14ac:dyDescent="0.25">
      <c r="A11130" t="str">
        <f>T("   100630")</f>
        <v xml:space="preserve">   100630</v>
      </c>
      <c r="B11130" t="str">
        <f>T("   Riz semi-blanchi ou blanchi, même poli ou glacé")</f>
        <v xml:space="preserve">   Riz semi-blanchi ou blanchi, même poli ou glacé</v>
      </c>
      <c r="C11130">
        <v>2649696304.9060001</v>
      </c>
      <c r="D11130">
        <v>11439479</v>
      </c>
    </row>
    <row r="11131" spans="1:4" x14ac:dyDescent="0.25">
      <c r="A11131" t="str">
        <f>T("   100640")</f>
        <v xml:space="preserve">   100640</v>
      </c>
      <c r="B11131" t="str">
        <f>T("   Riz en brisures")</f>
        <v xml:space="preserve">   Riz en brisures</v>
      </c>
      <c r="C11131">
        <v>253394750</v>
      </c>
      <c r="D11131">
        <v>1823165</v>
      </c>
    </row>
    <row r="11132" spans="1:4" x14ac:dyDescent="0.25">
      <c r="A11132" t="str">
        <f>T("   190531")</f>
        <v xml:space="preserve">   190531</v>
      </c>
      <c r="B11132" t="str">
        <f>T("   Biscuits additionnés d'édulcorants")</f>
        <v xml:space="preserve">   Biscuits additionnés d'édulcorants</v>
      </c>
      <c r="C11132">
        <v>4321989</v>
      </c>
      <c r="D11132">
        <v>6838</v>
      </c>
    </row>
    <row r="11133" spans="1:4" x14ac:dyDescent="0.25">
      <c r="A11133" t="str">
        <f>T("   190590")</f>
        <v xml:space="preserve">   190590</v>
      </c>
      <c r="B11133" t="s">
        <v>52</v>
      </c>
      <c r="C11133">
        <v>43800536</v>
      </c>
      <c r="D11133">
        <v>57774</v>
      </c>
    </row>
    <row r="11134" spans="1:4" x14ac:dyDescent="0.25">
      <c r="A11134" t="str">
        <f>T("   200990")</f>
        <v xml:space="preserve">   200990</v>
      </c>
      <c r="B1113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1134">
        <v>3541534</v>
      </c>
      <c r="D11134">
        <v>19491</v>
      </c>
    </row>
    <row r="11135" spans="1:4" x14ac:dyDescent="0.25">
      <c r="A11135" t="str">
        <f>T("   401140")</f>
        <v xml:space="preserve">   401140</v>
      </c>
      <c r="B11135" t="str">
        <f>T("   Pneumatiques neufs, en caoutchouc, des types utilisés pour les motocycles")</f>
        <v xml:space="preserve">   Pneumatiques neufs, en caoutchouc, des types utilisés pour les motocycles</v>
      </c>
      <c r="C11135">
        <v>873884</v>
      </c>
      <c r="D11135">
        <v>1800</v>
      </c>
    </row>
    <row r="11136" spans="1:4" x14ac:dyDescent="0.25">
      <c r="A11136" t="str">
        <f>T("   401390")</f>
        <v xml:space="preserve">   401390</v>
      </c>
      <c r="B11136"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1136">
        <v>6975159</v>
      </c>
      <c r="D11136">
        <v>24030</v>
      </c>
    </row>
    <row r="11137" spans="1:4" x14ac:dyDescent="0.25">
      <c r="A11137" t="str">
        <f>T("   520419")</f>
        <v xml:space="preserve">   520419</v>
      </c>
      <c r="B11137"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11137">
        <v>3155573</v>
      </c>
      <c r="D11137">
        <v>131</v>
      </c>
    </row>
    <row r="11138" spans="1:4" x14ac:dyDescent="0.25">
      <c r="A11138" t="str">
        <f>T("   640299")</f>
        <v xml:space="preserve">   640299</v>
      </c>
      <c r="B11138" t="s">
        <v>305</v>
      </c>
      <c r="C11138">
        <v>4900000</v>
      </c>
      <c r="D11138">
        <v>5000</v>
      </c>
    </row>
    <row r="11139" spans="1:4" x14ac:dyDescent="0.25">
      <c r="A11139" t="str">
        <f>T("   681019")</f>
        <v xml:space="preserve">   681019</v>
      </c>
      <c r="B11139"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1139">
        <v>17491090</v>
      </c>
      <c r="D11139">
        <v>550800</v>
      </c>
    </row>
    <row r="11140" spans="1:4" x14ac:dyDescent="0.25">
      <c r="A11140" t="str">
        <f>T("   681182")</f>
        <v xml:space="preserve">   681182</v>
      </c>
      <c r="B11140" t="str">
        <f>T("   PLAQUES, PANNEAUX, CARREAUX, TUILES ET ARTICLES SIMIL., EN CELLULOSE-CIMENT OU SIMIL., NE CONTENANT PAS DE L'AMIANTE (SAUF PLAQUES ONDULÉES)")</f>
        <v xml:space="preserve">   PLAQUES, PANNEAUX, CARREAUX, TUILES ET ARTICLES SIMIL., EN CELLULOSE-CIMENT OU SIMIL., NE CONTENANT PAS DE L'AMIANTE (SAUF PLAQUES ONDULÉES)</v>
      </c>
      <c r="C11140">
        <v>9175315</v>
      </c>
      <c r="D11140">
        <v>147000</v>
      </c>
    </row>
    <row r="11141" spans="1:4" x14ac:dyDescent="0.25">
      <c r="A11141" t="str">
        <f>T("   690590")</f>
        <v xml:space="preserve">   690590</v>
      </c>
      <c r="B11141" t="s">
        <v>334</v>
      </c>
      <c r="C11141">
        <v>7886269</v>
      </c>
      <c r="D11141">
        <v>136640</v>
      </c>
    </row>
    <row r="11142" spans="1:4" x14ac:dyDescent="0.25">
      <c r="A11142" t="str">
        <f>T("   851712")</f>
        <v xml:space="preserve">   851712</v>
      </c>
      <c r="B11142" t="str">
        <f>T("   TÉLÉPHONES POUR RÉSEAUX CELLULAIRES [TÉLÉPHONES MOBILES] ET POUR AUTRES RÉSEAUX SANS FIL")</f>
        <v xml:space="preserve">   TÉLÉPHONES POUR RÉSEAUX CELLULAIRES [TÉLÉPHONES MOBILES] ET POUR AUTRES RÉSEAUX SANS FIL</v>
      </c>
      <c r="C11142">
        <v>1727190</v>
      </c>
      <c r="D11142">
        <v>539</v>
      </c>
    </row>
    <row r="11143" spans="1:4" x14ac:dyDescent="0.25">
      <c r="A11143" t="str">
        <f>T("   852719")</f>
        <v xml:space="preserve">   852719</v>
      </c>
      <c r="B1114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1143">
        <v>68239385</v>
      </c>
      <c r="D11143">
        <v>45690</v>
      </c>
    </row>
    <row r="11144" spans="1:4" x14ac:dyDescent="0.25">
      <c r="A11144" t="str">
        <f>T("VU")</f>
        <v>VU</v>
      </c>
      <c r="B11144" t="str">
        <f>T("Vanuatu")</f>
        <v>Vanuatu</v>
      </c>
    </row>
    <row r="11145" spans="1:4" x14ac:dyDescent="0.25">
      <c r="A11145" t="str">
        <f>T("   ZZ_Total_Produit_SH6")</f>
        <v xml:space="preserve">   ZZ_Total_Produit_SH6</v>
      </c>
      <c r="B11145" t="str">
        <f>T("   ZZ_Total_Produit_SH6")</f>
        <v xml:space="preserve">   ZZ_Total_Produit_SH6</v>
      </c>
      <c r="C11145">
        <v>425889</v>
      </c>
      <c r="D11145">
        <v>133</v>
      </c>
    </row>
    <row r="11146" spans="1:4" x14ac:dyDescent="0.25">
      <c r="A11146" t="str">
        <f>T("   851712")</f>
        <v xml:space="preserve">   851712</v>
      </c>
      <c r="B11146" t="str">
        <f>T("   TÉLÉPHONES POUR RÉSEAUX CELLULAIRES [TÉLÉPHONES MOBILES] ET POUR AUTRES RÉSEAUX SANS FIL")</f>
        <v xml:space="preserve">   TÉLÉPHONES POUR RÉSEAUX CELLULAIRES [TÉLÉPHONES MOBILES] ET POUR AUTRES RÉSEAUX SANS FIL</v>
      </c>
      <c r="C11146">
        <v>425889</v>
      </c>
      <c r="D11146">
        <v>133</v>
      </c>
    </row>
    <row r="11147" spans="1:4" x14ac:dyDescent="0.25">
      <c r="A11147" t="str">
        <f>T("YE")</f>
        <v>YE</v>
      </c>
      <c r="B11147" t="str">
        <f>T("Yémen")</f>
        <v>Yémen</v>
      </c>
    </row>
    <row r="11148" spans="1:4" x14ac:dyDescent="0.25">
      <c r="A11148" t="str">
        <f>T("   ZZ_Total_Produit_SH6")</f>
        <v xml:space="preserve">   ZZ_Total_Produit_SH6</v>
      </c>
      <c r="B11148" t="str">
        <f>T("   ZZ_Total_Produit_SH6")</f>
        <v xml:space="preserve">   ZZ_Total_Produit_SH6</v>
      </c>
      <c r="C11148">
        <v>11176549</v>
      </c>
      <c r="D11148">
        <v>46359</v>
      </c>
    </row>
    <row r="11149" spans="1:4" x14ac:dyDescent="0.25">
      <c r="A11149" t="str">
        <f>T("   030379")</f>
        <v xml:space="preserve">   030379</v>
      </c>
      <c r="B11149" t="s">
        <v>16</v>
      </c>
      <c r="C11149">
        <v>4906227</v>
      </c>
      <c r="D11149">
        <v>21806</v>
      </c>
    </row>
    <row r="11150" spans="1:4" x14ac:dyDescent="0.25">
      <c r="A11150" t="str">
        <f>T("   640590")</f>
        <v xml:space="preserve">   640590</v>
      </c>
      <c r="B11150" t="s">
        <v>311</v>
      </c>
      <c r="C11150">
        <v>6270322</v>
      </c>
      <c r="D11150">
        <v>24553</v>
      </c>
    </row>
    <row r="11151" spans="1:4" x14ac:dyDescent="0.25">
      <c r="A11151" t="str">
        <f>T("YT")</f>
        <v>YT</v>
      </c>
      <c r="B11151" t="str">
        <f>T("Mayotte")</f>
        <v>Mayotte</v>
      </c>
    </row>
    <row r="11152" spans="1:4" x14ac:dyDescent="0.25">
      <c r="A11152" t="str">
        <f>T("   ZZ_Total_Produit_SH6")</f>
        <v xml:space="preserve">   ZZ_Total_Produit_SH6</v>
      </c>
      <c r="B11152" t="str">
        <f>T("   ZZ_Total_Produit_SH6")</f>
        <v xml:space="preserve">   ZZ_Total_Produit_SH6</v>
      </c>
      <c r="C11152">
        <v>3000000</v>
      </c>
      <c r="D11152">
        <v>2500</v>
      </c>
    </row>
    <row r="11153" spans="1:4" x14ac:dyDescent="0.25">
      <c r="A11153" t="str">
        <f>T("   620590")</f>
        <v xml:space="preserve">   620590</v>
      </c>
      <c r="B1115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153">
        <v>700000</v>
      </c>
      <c r="D11153">
        <v>400</v>
      </c>
    </row>
    <row r="11154" spans="1:4" x14ac:dyDescent="0.25">
      <c r="A11154" t="str">
        <f>T("   732394")</f>
        <v xml:space="preserve">   732394</v>
      </c>
      <c r="B11154" t="s">
        <v>389</v>
      </c>
      <c r="C11154">
        <v>800000</v>
      </c>
      <c r="D11154">
        <v>600</v>
      </c>
    </row>
    <row r="11155" spans="1:4" x14ac:dyDescent="0.25">
      <c r="A11155" t="str">
        <f>T("   940350")</f>
        <v xml:space="preserve">   940350</v>
      </c>
      <c r="B11155" t="str">
        <f>T("   Meubles pour chambres à coucher, en bois (sauf sièges)")</f>
        <v xml:space="preserve">   Meubles pour chambres à coucher, en bois (sauf sièges)</v>
      </c>
      <c r="C11155">
        <v>1500000</v>
      </c>
      <c r="D11155">
        <v>1500</v>
      </c>
    </row>
    <row r="11156" spans="1:4" x14ac:dyDescent="0.25">
      <c r="A11156" t="str">
        <f>T("YU")</f>
        <v>YU</v>
      </c>
      <c r="B11156" t="str">
        <f>T("Yougoslavie")</f>
        <v>Yougoslavie</v>
      </c>
    </row>
    <row r="11157" spans="1:4" x14ac:dyDescent="0.25">
      <c r="A11157" t="str">
        <f>T("   ZZ_Total_Produit_SH6")</f>
        <v xml:space="preserve">   ZZ_Total_Produit_SH6</v>
      </c>
      <c r="B11157" t="str">
        <f>T("   ZZ_Total_Produit_SH6")</f>
        <v xml:space="preserve">   ZZ_Total_Produit_SH6</v>
      </c>
      <c r="C11157">
        <v>28626094</v>
      </c>
      <c r="D11157">
        <v>23983</v>
      </c>
    </row>
    <row r="11158" spans="1:4" x14ac:dyDescent="0.25">
      <c r="A11158" t="str">
        <f>T("   390750")</f>
        <v xml:space="preserve">   390750</v>
      </c>
      <c r="B11158" t="str">
        <f>T("   Résines alkydes, sous formes primaires")</f>
        <v xml:space="preserve">   Résines alkydes, sous formes primaires</v>
      </c>
      <c r="C11158">
        <v>25796939</v>
      </c>
      <c r="D11158">
        <v>17600</v>
      </c>
    </row>
    <row r="11159" spans="1:4" x14ac:dyDescent="0.25">
      <c r="A11159" t="str">
        <f>T("   700529")</f>
        <v xml:space="preserve">   700529</v>
      </c>
      <c r="B11159" t="s">
        <v>343</v>
      </c>
      <c r="C11159">
        <v>1081022</v>
      </c>
      <c r="D11159">
        <v>2500</v>
      </c>
    </row>
    <row r="11160" spans="1:4" x14ac:dyDescent="0.25">
      <c r="A11160" t="str">
        <f>T("   761010")</f>
        <v xml:space="preserve">   761010</v>
      </c>
      <c r="B11160" t="str">
        <f>T("   Portes, fenêtres et leurs cadres, chambranles et seuils, en aluminium (sauf pièces de garnissage)")</f>
        <v xml:space="preserve">   Portes, fenêtres et leurs cadres, chambranles et seuils, en aluminium (sauf pièces de garnissage)</v>
      </c>
      <c r="C11160">
        <v>1748133</v>
      </c>
      <c r="D11160">
        <v>3883</v>
      </c>
    </row>
    <row r="11161" spans="1:4" x14ac:dyDescent="0.25">
      <c r="A11161" t="str">
        <f>T("Z2")</f>
        <v>Z2</v>
      </c>
      <c r="B11161" t="str">
        <f>T("Pays non défini")</f>
        <v>Pays non défini</v>
      </c>
    </row>
    <row r="11162" spans="1:4" x14ac:dyDescent="0.25">
      <c r="A11162" t="str">
        <f>T("   ZZ_Total_Produit_SH6")</f>
        <v xml:space="preserve">   ZZ_Total_Produit_SH6</v>
      </c>
      <c r="B11162" t="str">
        <f>T("   ZZ_Total_Produit_SH6")</f>
        <v xml:space="preserve">   ZZ_Total_Produit_SH6</v>
      </c>
      <c r="C11162">
        <v>1902227467.835</v>
      </c>
      <c r="D11162">
        <v>27137372</v>
      </c>
    </row>
    <row r="11163" spans="1:4" x14ac:dyDescent="0.25">
      <c r="A11163" t="str">
        <f>T("   010599")</f>
        <v xml:space="preserve">   010599</v>
      </c>
      <c r="B11163" t="str">
        <f>T("   Canards, oies, dindons, dindes et pintades [des espèces domestiques], vivants, d'un poids &gt; 185 g")</f>
        <v xml:space="preserve">   Canards, oies, dindons, dindes et pintades [des espèces domestiques], vivants, d'un poids &gt; 185 g</v>
      </c>
      <c r="C11163">
        <v>6800000</v>
      </c>
      <c r="D11163">
        <v>57780</v>
      </c>
    </row>
    <row r="11164" spans="1:4" x14ac:dyDescent="0.25">
      <c r="A11164" t="str">
        <f>T("   020329")</f>
        <v xml:space="preserve">   020329</v>
      </c>
      <c r="B11164"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11164">
        <v>3600000</v>
      </c>
      <c r="D11164">
        <v>53142</v>
      </c>
    </row>
    <row r="11165" spans="1:4" x14ac:dyDescent="0.25">
      <c r="A11165" t="str">
        <f>T("   030219")</f>
        <v xml:space="preserve">   030219</v>
      </c>
      <c r="B11165" t="str">
        <f>T("   Salmonidés, frais ou réfrigérés (à l'excl. des truites et des saumons du Pacifique, de l'Atlantique et du Danube)")</f>
        <v xml:space="preserve">   Salmonidés, frais ou réfrigérés (à l'excl. des truites et des saumons du Pacifique, de l'Atlantique et du Danube)</v>
      </c>
      <c r="C11165">
        <v>4870000</v>
      </c>
      <c r="D11165">
        <v>81685</v>
      </c>
    </row>
    <row r="11166" spans="1:4" x14ac:dyDescent="0.25">
      <c r="A11166" t="str">
        <f>T("   030229")</f>
        <v xml:space="preserve">   030229</v>
      </c>
      <c r="B11166"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1166">
        <v>4920000</v>
      </c>
      <c r="D11166">
        <v>132549</v>
      </c>
    </row>
    <row r="11167" spans="1:4" x14ac:dyDescent="0.25">
      <c r="A11167" t="str">
        <f>T("   030239")</f>
        <v xml:space="preserve">   030239</v>
      </c>
      <c r="B11167" t="str">
        <f>T("   Thons du genre 'Thunnus', frais ou réfrigérés (à l'excl. des thons des espèces 'Thunnus alalunga, Thunnus albacares, Thunnus obesus, Thunnus thynnus et Thunnus maccoyii')")</f>
        <v xml:space="preserve">   Thons du genre 'Thunnus', frais ou réfrigérés (à l'excl. des thons des espèces 'Thunnus alalunga, Thunnus albacares, Thunnus obesus, Thunnus thynnus et Thunnus maccoyii')</v>
      </c>
      <c r="C11167">
        <v>1330000</v>
      </c>
      <c r="D11167">
        <v>28700</v>
      </c>
    </row>
    <row r="11168" spans="1:4" x14ac:dyDescent="0.25">
      <c r="A11168" t="str">
        <f>T("   100610")</f>
        <v xml:space="preserve">   100610</v>
      </c>
      <c r="B11168" t="str">
        <f>T("   Riz en paille [riz paddy]")</f>
        <v xml:space="preserve">   Riz en paille [riz paddy]</v>
      </c>
      <c r="C11168">
        <v>1150000</v>
      </c>
      <c r="D11168">
        <v>28800</v>
      </c>
    </row>
    <row r="11169" spans="1:4" x14ac:dyDescent="0.25">
      <c r="A11169" t="str">
        <f>T("   140390")</f>
        <v xml:space="preserve">   140390</v>
      </c>
      <c r="B11169" t="str">
        <f>T("   PIASSAVA, CHIENDENT, ISTLE ET AUTRES MATIÈRES VÉGÉTALES DES ESPÈCES PRINCIPALEMENT UTILISÉES POUR LA FABRICATION DES BALAIS OU DES BROSSES, MÊME EN TORSADES OU EN FAISCEAUX (À L'EXCL. DU SORGHO A BALAIS)")</f>
        <v xml:space="preserve">   PIASSAVA, CHIENDENT, ISTLE ET AUTRES MATIÈRES VÉGÉTALES DES ESPÈCES PRINCIPALEMENT UTILISÉES POUR LA FABRICATION DES BALAIS OU DES BROSSES, MÊME EN TORSADES OU EN FAISCEAUX (À L'EXCL. DU SORGHO A BALAIS)</v>
      </c>
      <c r="C11169">
        <v>420000</v>
      </c>
      <c r="D11169">
        <v>19146</v>
      </c>
    </row>
    <row r="11170" spans="1:4" x14ac:dyDescent="0.25">
      <c r="A11170" t="str">
        <f>T("   160239")</f>
        <v xml:space="preserve">   160239</v>
      </c>
      <c r="B11170" t="s">
        <v>41</v>
      </c>
      <c r="C11170">
        <v>2700000</v>
      </c>
      <c r="D11170">
        <v>26250</v>
      </c>
    </row>
    <row r="11171" spans="1:4" x14ac:dyDescent="0.25">
      <c r="A11171" t="str">
        <f>T("   170111")</f>
        <v xml:space="preserve">   170111</v>
      </c>
      <c r="B11171" t="str">
        <f>T("   Sucres de canne, bruts, sans addition d'aromatisants ou de colorants")</f>
        <v xml:space="preserve">   Sucres de canne, bruts, sans addition d'aromatisants ou de colorants</v>
      </c>
      <c r="C11171">
        <v>27000000</v>
      </c>
      <c r="D11171">
        <v>2708200</v>
      </c>
    </row>
    <row r="11172" spans="1:4" x14ac:dyDescent="0.25">
      <c r="A11172" t="str">
        <f>T("   170199")</f>
        <v xml:space="preserve">   170199</v>
      </c>
      <c r="B1117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1172">
        <v>320532717.83499998</v>
      </c>
      <c r="D11172">
        <v>1083280</v>
      </c>
    </row>
    <row r="11173" spans="1:4" x14ac:dyDescent="0.25">
      <c r="A11173" t="str">
        <f>T("   180320")</f>
        <v xml:space="preserve">   180320</v>
      </c>
      <c r="B11173" t="str">
        <f>T("   Pâte de cacao, complètement ou partiellement dégraissée")</f>
        <v xml:space="preserve">   Pâte de cacao, complètement ou partiellement dégraissée</v>
      </c>
      <c r="C11173">
        <v>1780000</v>
      </c>
      <c r="D11173">
        <v>17113</v>
      </c>
    </row>
    <row r="11174" spans="1:4" x14ac:dyDescent="0.25">
      <c r="A11174" t="str">
        <f>T("   180610")</f>
        <v xml:space="preserve">   180610</v>
      </c>
      <c r="B11174" t="str">
        <f>T("   Poudre de cacao, additionnée de sucre ou d'autres édulcorants")</f>
        <v xml:space="preserve">   Poudre de cacao, additionnée de sucre ou d'autres édulcorants</v>
      </c>
      <c r="C11174">
        <v>33000000</v>
      </c>
      <c r="D11174">
        <v>270820</v>
      </c>
    </row>
    <row r="11175" spans="1:4" x14ac:dyDescent="0.25">
      <c r="A11175" t="str">
        <f>T("   180631")</f>
        <v xml:space="preserve">   180631</v>
      </c>
      <c r="B11175"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1175">
        <v>880000</v>
      </c>
      <c r="D11175">
        <v>4773</v>
      </c>
    </row>
    <row r="11176" spans="1:4" x14ac:dyDescent="0.25">
      <c r="A11176" t="str">
        <f>T("   180632")</f>
        <v xml:space="preserve">   180632</v>
      </c>
      <c r="B11176"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11176">
        <v>700000</v>
      </c>
      <c r="D11176">
        <v>14805</v>
      </c>
    </row>
    <row r="11177" spans="1:4" x14ac:dyDescent="0.25">
      <c r="A11177" t="str">
        <f>T("   190219")</f>
        <v xml:space="preserve">   190219</v>
      </c>
      <c r="B11177" t="str">
        <f>T("   PÂTES ALIMENTAIRES NON-CUITES NI FARCIES NI AUTREMENT PRÉPARÉES, NE CONTENANT PAS D'OEUFS")</f>
        <v xml:space="preserve">   PÂTES ALIMENTAIRES NON-CUITES NI FARCIES NI AUTREMENT PRÉPARÉES, NE CONTENANT PAS D'OEUFS</v>
      </c>
      <c r="C11177">
        <v>1900000</v>
      </c>
      <c r="D11177">
        <v>50600</v>
      </c>
    </row>
    <row r="11178" spans="1:4" x14ac:dyDescent="0.25">
      <c r="A11178" t="str">
        <f>T("   190590")</f>
        <v xml:space="preserve">   190590</v>
      </c>
      <c r="B11178" t="s">
        <v>52</v>
      </c>
      <c r="C11178">
        <v>850000</v>
      </c>
      <c r="D11178">
        <v>11948</v>
      </c>
    </row>
    <row r="11179" spans="1:4" x14ac:dyDescent="0.25">
      <c r="A11179" t="str">
        <f>T("   200290")</f>
        <v xml:space="preserve">   200290</v>
      </c>
      <c r="B1117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1179">
        <v>1050000</v>
      </c>
      <c r="D11179">
        <v>32800</v>
      </c>
    </row>
    <row r="11180" spans="1:4" x14ac:dyDescent="0.25">
      <c r="A11180" t="str">
        <f>T("   210420")</f>
        <v xml:space="preserve">   210420</v>
      </c>
      <c r="B11180" t="s">
        <v>59</v>
      </c>
      <c r="C11180">
        <v>2700000</v>
      </c>
      <c r="D11180">
        <v>20570</v>
      </c>
    </row>
    <row r="11181" spans="1:4" x14ac:dyDescent="0.25">
      <c r="A11181" t="str">
        <f>T("   220890")</f>
        <v xml:space="preserve">   220890</v>
      </c>
      <c r="B11181" t="s">
        <v>61</v>
      </c>
      <c r="C11181">
        <v>4360000</v>
      </c>
      <c r="D11181">
        <v>120061</v>
      </c>
    </row>
    <row r="11182" spans="1:4" x14ac:dyDescent="0.25">
      <c r="A11182" t="str">
        <f>T("   220900")</f>
        <v xml:space="preserve">   220900</v>
      </c>
      <c r="B11182" t="str">
        <f>T("   Vinaigres comestibles et succédanés de vinaigre comestibles obtenus à partir d'acide acétique")</f>
        <v xml:space="preserve">   Vinaigres comestibles et succédanés de vinaigre comestibles obtenus à partir d'acide acétique</v>
      </c>
      <c r="C11182">
        <v>5400000</v>
      </c>
      <c r="D11182">
        <v>47091</v>
      </c>
    </row>
    <row r="11183" spans="1:4" x14ac:dyDescent="0.25">
      <c r="A11183" t="str">
        <f>T("   250100")</f>
        <v xml:space="preserve">   250100</v>
      </c>
      <c r="B11183" t="s">
        <v>63</v>
      </c>
      <c r="C11183">
        <v>950000</v>
      </c>
      <c r="D11183">
        <v>115000</v>
      </c>
    </row>
    <row r="11184" spans="1:4" x14ac:dyDescent="0.25">
      <c r="A11184" t="str">
        <f>T("   251990")</f>
        <v xml:space="preserve">   251990</v>
      </c>
      <c r="B11184" t="str">
        <f>T("   Magnésie électrofondue; magnésie calcinée à mort [frittée], même contenant de faibles quantités d'autres oxydes ajoutés avant le frittage; autre oxyde de magnésium (à l'excl. du carbonate de magnésium naturel [magnésite])")</f>
        <v xml:space="preserve">   Magnésie électrofondue; magnésie calcinée à mort [frittée], même contenant de faibles quantités d'autres oxydes ajoutés avant le frittage; autre oxyde de magnésium (à l'excl. du carbonate de magnésium naturel [magnésite])</v>
      </c>
      <c r="C11184">
        <v>3210000</v>
      </c>
      <c r="D11184">
        <v>639128</v>
      </c>
    </row>
    <row r="11185" spans="1:4" x14ac:dyDescent="0.25">
      <c r="A11185" t="str">
        <f>T("   281129")</f>
        <v xml:space="preserve">   281129</v>
      </c>
      <c r="B11185"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11185">
        <v>2700000</v>
      </c>
      <c r="D11185">
        <v>145700</v>
      </c>
    </row>
    <row r="11186" spans="1:4" x14ac:dyDescent="0.25">
      <c r="A11186" t="str">
        <f>T("   281511")</f>
        <v xml:space="preserve">   281511</v>
      </c>
      <c r="B11186" t="str">
        <f>T("   Hydroxyde de sodium [soude caustique], solide")</f>
        <v xml:space="preserve">   Hydroxyde de sodium [soude caustique], solide</v>
      </c>
      <c r="C11186">
        <v>4050000</v>
      </c>
      <c r="D11186">
        <v>2168640</v>
      </c>
    </row>
    <row r="11187" spans="1:4" x14ac:dyDescent="0.25">
      <c r="A11187" t="str">
        <f>T("   300340")</f>
        <v xml:space="preserve">   300340</v>
      </c>
      <c r="B11187" t="str">
        <f>T("   Médicaments contenant des alcaloïdes ou leurs dérivés, mais ne contenant ni hormones, ni stéroïdes utilisés comme hormones, ni antibiotiques, non présentés sous forme de doses, ni conditionnés pour la vente au détail")</f>
        <v xml:space="preserve">   Médicaments contenant des alcaloïdes ou leurs dérivés, mais ne contenant ni hormones, ni stéroïdes utilisés comme hormones, ni antibiotiques, non présentés sous forme de doses, ni conditionnés pour la vente au détail</v>
      </c>
      <c r="C11187">
        <v>1400000</v>
      </c>
      <c r="D11187">
        <v>19304</v>
      </c>
    </row>
    <row r="11188" spans="1:4" x14ac:dyDescent="0.25">
      <c r="A11188" t="str">
        <f>T("   310390")</f>
        <v xml:space="preserve">   310390</v>
      </c>
      <c r="B11188" t="str">
        <f>T("   Engrais minéraux ou chimiques phosphatés (à l'excl. des superphosphates, des scories de déphosphoration et des produits présentés soit en tablettes ou formes simil., soit en emballages d'un poids brut &lt;= 10 kg)")</f>
        <v xml:space="preserve">   Engrais minéraux ou chimiques phosphatés (à l'excl. des superphosphates, des scories de déphosphoration et des produits présentés soit en tablettes ou formes simil., soit en emballages d'un poids brut &lt;= 10 kg)</v>
      </c>
      <c r="C11188">
        <v>1950000</v>
      </c>
      <c r="D11188">
        <v>260000</v>
      </c>
    </row>
    <row r="11189" spans="1:4" x14ac:dyDescent="0.25">
      <c r="A11189" t="str">
        <f>T("   320649")</f>
        <v xml:space="preserve">   320649</v>
      </c>
      <c r="B11189" t="s">
        <v>100</v>
      </c>
      <c r="C11189">
        <v>1100000</v>
      </c>
      <c r="D11189">
        <v>34009</v>
      </c>
    </row>
    <row r="11190" spans="1:4" x14ac:dyDescent="0.25">
      <c r="A11190" t="str">
        <f>T("   330690")</f>
        <v xml:space="preserve">   330690</v>
      </c>
      <c r="B11190"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11190">
        <v>830000</v>
      </c>
      <c r="D11190">
        <v>7624</v>
      </c>
    </row>
    <row r="11191" spans="1:4" x14ac:dyDescent="0.25">
      <c r="A11191" t="str">
        <f>T("   340111")</f>
        <v xml:space="preserve">   340111</v>
      </c>
      <c r="B11191" t="s">
        <v>107</v>
      </c>
      <c r="C11191">
        <v>1800000</v>
      </c>
      <c r="D11191">
        <v>79482</v>
      </c>
    </row>
    <row r="11192" spans="1:4" x14ac:dyDescent="0.25">
      <c r="A11192" t="str">
        <f>T("   340119")</f>
        <v xml:space="preserve">   340119</v>
      </c>
      <c r="B11192" t="s">
        <v>108</v>
      </c>
      <c r="C11192">
        <v>880000</v>
      </c>
      <c r="D11192">
        <v>79482</v>
      </c>
    </row>
    <row r="11193" spans="1:4" x14ac:dyDescent="0.25">
      <c r="A11193" t="str">
        <f>T("   340120")</f>
        <v xml:space="preserve">   340120</v>
      </c>
      <c r="B11193" t="str">
        <f>T("   Savons en flocons, en paillettes, en granulés ou en poudres et savons liquides ou pâteux")</f>
        <v xml:space="preserve">   Savons en flocons, en paillettes, en granulés ou en poudres et savons liquides ou pâteux</v>
      </c>
      <c r="C11193">
        <v>880000</v>
      </c>
      <c r="D11193">
        <v>23594</v>
      </c>
    </row>
    <row r="11194" spans="1:4" x14ac:dyDescent="0.25">
      <c r="A11194" t="str">
        <f>T("   340590")</f>
        <v xml:space="preserve">   340590</v>
      </c>
      <c r="B11194"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11194">
        <v>1800000</v>
      </c>
      <c r="D11194">
        <v>369104</v>
      </c>
    </row>
    <row r="11195" spans="1:4" x14ac:dyDescent="0.25">
      <c r="A11195" t="str">
        <f>T("   360300")</f>
        <v xml:space="preserve">   360300</v>
      </c>
      <c r="B11195"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11195">
        <v>1530000</v>
      </c>
      <c r="D11195">
        <v>18118</v>
      </c>
    </row>
    <row r="11196" spans="1:4" x14ac:dyDescent="0.25">
      <c r="A11196" t="str">
        <f>T("   360690")</f>
        <v xml:space="preserve">   360690</v>
      </c>
      <c r="B11196" t="s">
        <v>119</v>
      </c>
      <c r="C11196">
        <v>900000</v>
      </c>
      <c r="D11196">
        <v>22518</v>
      </c>
    </row>
    <row r="11197" spans="1:4" x14ac:dyDescent="0.25">
      <c r="A11197" t="str">
        <f>T("   370790")</f>
        <v xml:space="preserve">   370790</v>
      </c>
      <c r="B11197" t="s">
        <v>124</v>
      </c>
      <c r="C11197">
        <v>570000</v>
      </c>
      <c r="D11197">
        <v>11200</v>
      </c>
    </row>
    <row r="11198" spans="1:4" x14ac:dyDescent="0.25">
      <c r="A11198" t="str">
        <f>T("   380999")</f>
        <v xml:space="preserve">   380999</v>
      </c>
      <c r="B11198" t="s">
        <v>129</v>
      </c>
      <c r="C11198">
        <v>17278000</v>
      </c>
      <c r="D11198">
        <v>341960</v>
      </c>
    </row>
    <row r="11199" spans="1:4" x14ac:dyDescent="0.25">
      <c r="A11199" t="str">
        <f>T("   381090")</f>
        <v xml:space="preserve">   381090</v>
      </c>
      <c r="B11199" t="s">
        <v>130</v>
      </c>
      <c r="C11199">
        <v>4300000</v>
      </c>
      <c r="D11199">
        <v>123485</v>
      </c>
    </row>
    <row r="11200" spans="1:4" x14ac:dyDescent="0.25">
      <c r="A11200" t="str">
        <f>T("   390890")</f>
        <v xml:space="preserve">   390890</v>
      </c>
      <c r="B11200" t="str">
        <f>T("   Polyamides, sous formes primaires (à l'excl. du polyamide-6, -11, -12, -6,6, -6,9, -6,10 ou -6,12)")</f>
        <v xml:space="preserve">   Polyamides, sous formes primaires (à l'excl. du polyamide-6, -11, -12, -6,6, -6,9, -6,10 ou -6,12)</v>
      </c>
      <c r="C11200">
        <v>880000</v>
      </c>
      <c r="D11200">
        <v>5658</v>
      </c>
    </row>
    <row r="11201" spans="1:4" x14ac:dyDescent="0.25">
      <c r="A11201" t="str">
        <f>T("   390950")</f>
        <v xml:space="preserve">   390950</v>
      </c>
      <c r="B11201" t="str">
        <f>T("   Polyuréthannes, sous formes primaires")</f>
        <v xml:space="preserve">   Polyuréthannes, sous formes primaires</v>
      </c>
      <c r="C11201">
        <v>3000000</v>
      </c>
      <c r="D11201">
        <v>38264</v>
      </c>
    </row>
    <row r="11202" spans="1:4" x14ac:dyDescent="0.25">
      <c r="A11202" t="str">
        <f>T("   401199")</f>
        <v xml:space="preserve">   401199</v>
      </c>
      <c r="B11202" t="s">
        <v>165</v>
      </c>
      <c r="C11202">
        <v>1440000</v>
      </c>
      <c r="D11202">
        <v>61408</v>
      </c>
    </row>
    <row r="11203" spans="1:4" x14ac:dyDescent="0.25">
      <c r="A11203" t="str">
        <f>T("   420212")</f>
        <v xml:space="preserve">   420212</v>
      </c>
      <c r="B11203"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1203">
        <v>680000</v>
      </c>
      <c r="D11203">
        <v>19490</v>
      </c>
    </row>
    <row r="11204" spans="1:4" x14ac:dyDescent="0.25">
      <c r="A11204" t="str">
        <f>T("   441890")</f>
        <v xml:space="preserve">   441890</v>
      </c>
      <c r="B11204" t="s">
        <v>200</v>
      </c>
      <c r="C11204">
        <v>430000</v>
      </c>
      <c r="D11204">
        <v>20000</v>
      </c>
    </row>
    <row r="11205" spans="1:4" x14ac:dyDescent="0.25">
      <c r="A11205" t="str">
        <f>T("   480580")</f>
        <v xml:space="preserve">   480580</v>
      </c>
      <c r="B11205" t="str">
        <f>T("   PAPIERS ET CARTONS, NON-COUCHÉS NI ENDUITS, EN ROULEAUX OU EN FEUILLES DES TYPES DEFINIS DANS LES NOTES 7A) OU 7B) DU PRESENT CHAPITRE, D'UN POIDS &gt;= 225 G/M², N.D.A.")</f>
        <v xml:space="preserve">   PAPIERS ET CARTONS, NON-COUCHÉS NI ENDUITS, EN ROULEAUX OU EN FEUILLES DES TYPES DEFINIS DANS LES NOTES 7A) OU 7B) DU PRESENT CHAPITRE, D'UN POIDS &gt;= 225 G/M², N.D.A.</v>
      </c>
      <c r="C11205">
        <v>206000</v>
      </c>
      <c r="D11205">
        <v>5460</v>
      </c>
    </row>
    <row r="11206" spans="1:4" x14ac:dyDescent="0.25">
      <c r="A11206" t="str">
        <f>T("   482090")</f>
        <v xml:space="preserve">   482090</v>
      </c>
      <c r="B11206" t="s">
        <v>234</v>
      </c>
      <c r="C11206">
        <v>800000</v>
      </c>
      <c r="D11206">
        <v>20000</v>
      </c>
    </row>
    <row r="11207" spans="1:4" x14ac:dyDescent="0.25">
      <c r="A11207" t="str">
        <f>T("   490199")</f>
        <v xml:space="preserve">   490199</v>
      </c>
      <c r="B1120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207">
        <v>114000</v>
      </c>
      <c r="D11207">
        <v>1000</v>
      </c>
    </row>
    <row r="11208" spans="1:4" x14ac:dyDescent="0.25">
      <c r="A11208" t="str">
        <f>T("   500720")</f>
        <v xml:space="preserve">   500720</v>
      </c>
      <c r="B11208" t="str">
        <f>T("   Tissus contenant &gt;= 85% en poids de soie ou de déchets de soie (autres que la bourrette)")</f>
        <v xml:space="preserve">   Tissus contenant &gt;= 85% en poids de soie ou de déchets de soie (autres que la bourrette)</v>
      </c>
      <c r="C11208">
        <v>1800000</v>
      </c>
      <c r="D11208">
        <v>12928</v>
      </c>
    </row>
    <row r="11209" spans="1:4" x14ac:dyDescent="0.25">
      <c r="A11209" t="str">
        <f>T("   520299")</f>
        <v xml:space="preserve">   520299</v>
      </c>
      <c r="B11209" t="str">
        <f>T("   Déchets de coton (à l'excl. des déchets de fils et des effilochés)")</f>
        <v xml:space="preserve">   Déchets de coton (à l'excl. des déchets de fils et des effilochés)</v>
      </c>
      <c r="C11209">
        <v>800000</v>
      </c>
      <c r="D11209">
        <v>5000</v>
      </c>
    </row>
    <row r="11210" spans="1:4" x14ac:dyDescent="0.25">
      <c r="A11210" t="str">
        <f>T("   530890")</f>
        <v xml:space="preserve">   530890</v>
      </c>
      <c r="B11210" t="str">
        <f>T("   Fils de fibres textiles végétales (à l'excl. des fils de coton, de lin, de coco, de chanvre, de jute ou d'autres fibres textiles libériennes du n° 5303)")</f>
        <v xml:space="preserve">   Fils de fibres textiles végétales (à l'excl. des fils de coton, de lin, de coco, de chanvre, de jute ou d'autres fibres textiles libériennes du n° 5303)</v>
      </c>
      <c r="C11210">
        <v>200000</v>
      </c>
      <c r="D11210">
        <v>2000</v>
      </c>
    </row>
    <row r="11211" spans="1:4" x14ac:dyDescent="0.25">
      <c r="A11211" t="str">
        <f>T("   550520")</f>
        <v xml:space="preserve">   550520</v>
      </c>
      <c r="B11211" t="str">
        <f>T("   Déchets de fibres artificielles, y.c. les blousses, les déchets de fils et les effilochés")</f>
        <v xml:space="preserve">   Déchets de fibres artificielles, y.c. les blousses, les déchets de fils et les effilochés</v>
      </c>
      <c r="C11211">
        <v>113000</v>
      </c>
      <c r="D11211">
        <v>1000</v>
      </c>
    </row>
    <row r="11212" spans="1:4" x14ac:dyDescent="0.25">
      <c r="A11212" t="str">
        <f>T("   610990")</f>
        <v xml:space="preserve">   610990</v>
      </c>
      <c r="B11212" t="str">
        <f>T("   T-shirts et maillots de corps, en bonneterie, de matières textiles (sauf de coton)")</f>
        <v xml:space="preserve">   T-shirts et maillots de corps, en bonneterie, de matières textiles (sauf de coton)</v>
      </c>
      <c r="C11212">
        <v>6765000</v>
      </c>
      <c r="D11212">
        <v>126920</v>
      </c>
    </row>
    <row r="11213" spans="1:4" x14ac:dyDescent="0.25">
      <c r="A11213" t="str">
        <f>T("   630399")</f>
        <v xml:space="preserve">   630399</v>
      </c>
      <c r="B11213"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1213">
        <v>710000</v>
      </c>
      <c r="D11213">
        <v>12599</v>
      </c>
    </row>
    <row r="11214" spans="1:4" x14ac:dyDescent="0.25">
      <c r="A11214" t="str">
        <f>T("   630510")</f>
        <v xml:space="preserve">   630510</v>
      </c>
      <c r="B11214" t="str">
        <f>T("   Sacs et sachets d'emballage de jute ou d'autres fibres textiles libériennes du n° 5303")</f>
        <v xml:space="preserve">   Sacs et sachets d'emballage de jute ou d'autres fibres textiles libériennes du n° 5303</v>
      </c>
      <c r="C11214">
        <v>450000</v>
      </c>
      <c r="D11214">
        <v>17600</v>
      </c>
    </row>
    <row r="11215" spans="1:4" x14ac:dyDescent="0.25">
      <c r="A11215" t="str">
        <f>T("   630900")</f>
        <v xml:space="preserve">   630900</v>
      </c>
      <c r="B11215" t="s">
        <v>300</v>
      </c>
      <c r="C11215">
        <v>2470000</v>
      </c>
      <c r="D11215">
        <v>51140</v>
      </c>
    </row>
    <row r="11216" spans="1:4" x14ac:dyDescent="0.25">
      <c r="A11216" t="str">
        <f>T("   631090")</f>
        <v xml:space="preserve">   631090</v>
      </c>
      <c r="B11216"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1216">
        <v>190000</v>
      </c>
      <c r="D11216">
        <v>1000</v>
      </c>
    </row>
    <row r="11217" spans="1:4" x14ac:dyDescent="0.25">
      <c r="A11217" t="str">
        <f>T("   640299")</f>
        <v xml:space="preserve">   640299</v>
      </c>
      <c r="B11217" t="s">
        <v>305</v>
      </c>
      <c r="C11217">
        <v>800000</v>
      </c>
      <c r="D11217">
        <v>14000</v>
      </c>
    </row>
    <row r="11218" spans="1:4" x14ac:dyDescent="0.25">
      <c r="A11218" t="str">
        <f>T("   670290")</f>
        <v xml:space="preserve">   670290</v>
      </c>
      <c r="B11218"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11218">
        <v>204000</v>
      </c>
      <c r="D11218">
        <v>2200</v>
      </c>
    </row>
    <row r="11219" spans="1:4" x14ac:dyDescent="0.25">
      <c r="A11219" t="str">
        <f>T("   681210")</f>
        <v xml:space="preserve">   681210</v>
      </c>
      <c r="B11219" t="str">
        <f>T("   AMIANTE TRAVAILLÉ, EN FIBRES; MÉLANGES A BASE D'AMIANTE OU A BASE D'AMIANTE ET DE CARBONATE DE MAGNESIUM")</f>
        <v xml:space="preserve">   AMIANTE TRAVAILLÉ, EN FIBRES; MÉLANGES A BASE D'AMIANTE OU A BASE D'AMIANTE ET DE CARBONATE DE MAGNESIUM</v>
      </c>
      <c r="C11219">
        <v>14485000</v>
      </c>
      <c r="D11219">
        <v>9795436</v>
      </c>
    </row>
    <row r="11220" spans="1:4" x14ac:dyDescent="0.25">
      <c r="A11220" t="str">
        <f>T("   690290")</f>
        <v xml:space="preserve">   690290</v>
      </c>
      <c r="B11220" t="s">
        <v>330</v>
      </c>
      <c r="C11220">
        <v>710000</v>
      </c>
      <c r="D11220">
        <v>12510</v>
      </c>
    </row>
    <row r="11221" spans="1:4" x14ac:dyDescent="0.25">
      <c r="A11221" t="str">
        <f>T("   690890")</f>
        <v xml:space="preserve">   690890</v>
      </c>
      <c r="B11221" t="s">
        <v>336</v>
      </c>
      <c r="C11221">
        <v>1800000</v>
      </c>
      <c r="D11221">
        <v>47225</v>
      </c>
    </row>
    <row r="11222" spans="1:4" x14ac:dyDescent="0.25">
      <c r="A11222" t="str">
        <f>T("   691090")</f>
        <v xml:space="preserve">   691090</v>
      </c>
      <c r="B11222" t="s">
        <v>339</v>
      </c>
      <c r="C11222">
        <v>4000000</v>
      </c>
      <c r="D11222">
        <v>54000</v>
      </c>
    </row>
    <row r="11223" spans="1:4" x14ac:dyDescent="0.25">
      <c r="A11223" t="str">
        <f>T("   711320")</f>
        <v xml:space="preserve">   711320</v>
      </c>
      <c r="B11223" t="str">
        <f>T("   Articles de bijouterie ou de joaillerie et leurs parties, en plaqués ou doublés de métaux précieux sur métaux communs (sauf &gt; 100 ans)")</f>
        <v xml:space="preserve">   Articles de bijouterie ou de joaillerie et leurs parties, en plaqués ou doublés de métaux précieux sur métaux communs (sauf &gt; 100 ans)</v>
      </c>
      <c r="C11223">
        <v>1430000</v>
      </c>
      <c r="D11223">
        <v>13818</v>
      </c>
    </row>
    <row r="11224" spans="1:4" x14ac:dyDescent="0.25">
      <c r="A11224" t="str">
        <f>T("   721250")</f>
        <v xml:space="preserve">   721250</v>
      </c>
      <c r="B11224" t="str">
        <f>T("   PRODUITS LAMINÉS PLATS, EN FER OU EN ACIERS NON-ALLIÉS, D'UNE LARGEUR &lt; 600 MM, LAMINÉS À CHAUD OU À FROID, REVÊTUS (À L'EXCL. DES PRODUITS ÉTAMÉS, ZINGUÉS, PEINTS, VERNIS OU REVÊTUS DE MATIÈRES PLASTIQUES)")</f>
        <v xml:space="preserve">   PRODUITS LAMINÉS PLATS, EN FER OU EN ACIERS NON-ALLIÉS, D'UNE LARGEUR &lt; 600 MM, LAMINÉS À CHAUD OU À FROID, REVÊTUS (À L'EXCL. DES PRODUITS ÉTAMÉS, ZINGUÉS, PEINTS, VERNIS OU REVÊTUS DE MATIÈRES PLASTIQUES)</v>
      </c>
      <c r="C11224">
        <v>650000</v>
      </c>
      <c r="D11224">
        <v>20000</v>
      </c>
    </row>
    <row r="11225" spans="1:4" x14ac:dyDescent="0.25">
      <c r="A11225" t="str">
        <f>T("   820559")</f>
        <v xml:space="preserve">   820559</v>
      </c>
      <c r="B11225" t="str">
        <f>T("   Outils à main, y.c. -les diamants de vitrier-, en métaux communs, n.d.a.")</f>
        <v xml:space="preserve">   Outils à main, y.c. -les diamants de vitrier-, en métaux communs, n.d.a.</v>
      </c>
      <c r="C11225">
        <v>60000</v>
      </c>
      <c r="D11225">
        <v>1000</v>
      </c>
    </row>
    <row r="11226" spans="1:4" x14ac:dyDescent="0.25">
      <c r="A11226" t="str">
        <f>T("   841780")</f>
        <v xml:space="preserve">   841780</v>
      </c>
      <c r="B11226" t="s">
        <v>426</v>
      </c>
      <c r="C11226">
        <v>700000</v>
      </c>
      <c r="D11226">
        <v>4000</v>
      </c>
    </row>
    <row r="11227" spans="1:4" x14ac:dyDescent="0.25">
      <c r="A11227" t="str">
        <f>T("   841899")</f>
        <v xml:space="preserve">   841899</v>
      </c>
      <c r="B11227"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1227">
        <v>2050000</v>
      </c>
      <c r="D11227">
        <v>14790</v>
      </c>
    </row>
    <row r="11228" spans="1:4" x14ac:dyDescent="0.25">
      <c r="A11228" t="str">
        <f>T("   842199")</f>
        <v xml:space="preserve">   842199</v>
      </c>
      <c r="B11228" t="str">
        <f>T("   Parties d'appareils pour la filtration ou l'épuration des liquides ou des gaz, n.d.a.")</f>
        <v xml:space="preserve">   Parties d'appareils pour la filtration ou l'épuration des liquides ou des gaz, n.d.a.</v>
      </c>
      <c r="C11228">
        <v>250000</v>
      </c>
      <c r="D11228">
        <v>5000</v>
      </c>
    </row>
    <row r="11229" spans="1:4" x14ac:dyDescent="0.25">
      <c r="A11229" t="str">
        <f>T("   843069")</f>
        <v xml:space="preserve">   843069</v>
      </c>
      <c r="B11229"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11229">
        <v>1950000</v>
      </c>
      <c r="D11229">
        <v>369104</v>
      </c>
    </row>
    <row r="11230" spans="1:4" x14ac:dyDescent="0.25">
      <c r="A11230" t="str">
        <f>T("   843229")</f>
        <v xml:space="preserve">   843229</v>
      </c>
      <c r="B11230"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11230">
        <v>2330000</v>
      </c>
      <c r="D11230">
        <v>43042</v>
      </c>
    </row>
    <row r="11231" spans="1:4" x14ac:dyDescent="0.25">
      <c r="A11231" t="str">
        <f>T("   843290")</f>
        <v xml:space="preserve">   843290</v>
      </c>
      <c r="B11231"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11231">
        <v>2230000</v>
      </c>
      <c r="D11231">
        <v>45731</v>
      </c>
    </row>
    <row r="11232" spans="1:4" x14ac:dyDescent="0.25">
      <c r="A11232" t="str">
        <f>T("   843319")</f>
        <v xml:space="preserve">   843319</v>
      </c>
      <c r="B11232" t="str">
        <f>T("   Tondeuses à gazon à moteur, dont le dispositif de coupe tourne dans un plan vertical, ou à barre de coupe")</f>
        <v xml:space="preserve">   Tondeuses à gazon à moteur, dont le dispositif de coupe tourne dans un plan vertical, ou à barre de coupe</v>
      </c>
      <c r="C11232">
        <v>710000</v>
      </c>
      <c r="D11232">
        <v>22200</v>
      </c>
    </row>
    <row r="11233" spans="1:4" x14ac:dyDescent="0.25">
      <c r="A11233" t="str">
        <f>T("   843699")</f>
        <v xml:space="preserve">   843699</v>
      </c>
      <c r="B11233" t="str">
        <f>T("   Parties de machines et appareils pour l'agriculture, la sylviculture, l'horticulture ou l'apiculture, n.d.a.")</f>
        <v xml:space="preserve">   Parties de machines et appareils pour l'agriculture, la sylviculture, l'horticulture ou l'apiculture, n.d.a.</v>
      </c>
      <c r="C11233">
        <v>1315000</v>
      </c>
      <c r="D11233">
        <v>22200</v>
      </c>
    </row>
    <row r="11234" spans="1:4" x14ac:dyDescent="0.25">
      <c r="A11234" t="str">
        <f>T("   844859")</f>
        <v xml:space="preserve">   844859</v>
      </c>
      <c r="B11234" t="str">
        <f>T("   Parties et accessoires des métiers, machines et appareils du n° 8447, n.d.a.")</f>
        <v xml:space="preserve">   Parties et accessoires des métiers, machines et appareils du n° 8447, n.d.a.</v>
      </c>
      <c r="C11234">
        <v>750000</v>
      </c>
      <c r="D11234">
        <v>34298</v>
      </c>
    </row>
    <row r="11235" spans="1:4" x14ac:dyDescent="0.25">
      <c r="A11235" t="str">
        <f>T("   846390")</f>
        <v xml:space="preserve">   846390</v>
      </c>
      <c r="B11235" t="s">
        <v>451</v>
      </c>
      <c r="C11235">
        <v>3900000</v>
      </c>
      <c r="D11235">
        <v>32343</v>
      </c>
    </row>
    <row r="11236" spans="1:4" x14ac:dyDescent="0.25">
      <c r="A11236" t="str">
        <f>T("   846490")</f>
        <v xml:space="preserve">   846490</v>
      </c>
      <c r="B11236" t="s">
        <v>452</v>
      </c>
      <c r="C11236">
        <v>2420000</v>
      </c>
      <c r="D11236">
        <v>50060</v>
      </c>
    </row>
    <row r="11237" spans="1:4" x14ac:dyDescent="0.25">
      <c r="A11237" t="str">
        <f>T("   850519")</f>
        <v xml:space="preserve">   850519</v>
      </c>
      <c r="B11237" t="str">
        <f>T("   Aimants permanents et articles destinés à devenir des aimants permanents après aimantation, autres qu'en métal")</f>
        <v xml:space="preserve">   Aimants permanents et articles destinés à devenir des aimants permanents après aimantation, autres qu'en métal</v>
      </c>
      <c r="C11237">
        <v>900000</v>
      </c>
      <c r="D11237">
        <v>4767</v>
      </c>
    </row>
    <row r="11238" spans="1:4" x14ac:dyDescent="0.25">
      <c r="A11238" t="str">
        <f>T("   850590")</f>
        <v xml:space="preserve">   850590</v>
      </c>
      <c r="B11238"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11238">
        <v>2530000</v>
      </c>
      <c r="D11238">
        <v>69400</v>
      </c>
    </row>
    <row r="11239" spans="1:4" x14ac:dyDescent="0.25">
      <c r="A11239" t="str">
        <f>T("   851629")</f>
        <v xml:space="preserve">   851629</v>
      </c>
      <c r="B11239" t="str">
        <f>T("   Appareils électriques pour le chauffage des locaux, du sol ou pour usages simil. (sauf radiateurs à accumulation)")</f>
        <v xml:space="preserve">   Appareils électriques pour le chauffage des locaux, du sol ou pour usages simil. (sauf radiateurs à accumulation)</v>
      </c>
      <c r="C11239">
        <v>200000</v>
      </c>
      <c r="D11239">
        <v>2000</v>
      </c>
    </row>
    <row r="11240" spans="1:4" x14ac:dyDescent="0.25">
      <c r="A11240" t="str">
        <f>T("   860390")</f>
        <v xml:space="preserve">   860390</v>
      </c>
      <c r="B11240" t="str">
        <f>T("   Automotrices et autorails, à source extérieure d'électricité (à l'excl. des véhicules pour l'entretien ou le service des voies ferrées ou simil. du n° 8604)")</f>
        <v xml:space="preserve">   Automotrices et autorails, à source extérieure d'électricité (à l'excl. des véhicules pour l'entretien ou le service des voies ferrées ou simil. du n° 8604)</v>
      </c>
      <c r="C11240">
        <v>1250000</v>
      </c>
      <c r="D11240">
        <v>25000</v>
      </c>
    </row>
    <row r="11241" spans="1:4" x14ac:dyDescent="0.25">
      <c r="A11241" t="str">
        <f>T("   870322")</f>
        <v xml:space="preserve">   870322</v>
      </c>
      <c r="B11241" t="s">
        <v>506</v>
      </c>
      <c r="C11241">
        <v>1341986750</v>
      </c>
      <c r="D11241">
        <v>6442914</v>
      </c>
    </row>
    <row r="11242" spans="1:4" x14ac:dyDescent="0.25">
      <c r="A11242" t="str">
        <f>T("   870590")</f>
        <v xml:space="preserve">   870590</v>
      </c>
      <c r="B11242" t="s">
        <v>517</v>
      </c>
      <c r="C11242">
        <v>203000</v>
      </c>
      <c r="D11242">
        <v>5101</v>
      </c>
    </row>
    <row r="11243" spans="1:4" x14ac:dyDescent="0.25">
      <c r="A11243" t="str">
        <f>T("   880190")</f>
        <v xml:space="preserve">   880190</v>
      </c>
      <c r="B11243"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11243">
        <v>250000</v>
      </c>
      <c r="D11243">
        <v>17000</v>
      </c>
    </row>
    <row r="11244" spans="1:4" x14ac:dyDescent="0.25">
      <c r="A11244" t="str">
        <f>T("   880390")</f>
        <v xml:space="preserve">   880390</v>
      </c>
      <c r="B11244" t="str">
        <f>T("   Parties des véhicules aériens et spatiaux, n.d.a.")</f>
        <v xml:space="preserve">   Parties des véhicules aériens et spatiaux, n.d.a.</v>
      </c>
      <c r="C11244">
        <v>9260000</v>
      </c>
      <c r="D11244">
        <v>137067</v>
      </c>
    </row>
    <row r="11245" spans="1:4" x14ac:dyDescent="0.25">
      <c r="A11245" t="str">
        <f>T("   900219")</f>
        <v xml:space="preserve">   900219</v>
      </c>
      <c r="B11245" t="str">
        <f>T("   Objectifs (autres que pour appareils de prise de vues, pour projecteurs ou pour appareils photographiques ou cinématographiques d'agrandissement ou de réduction)")</f>
        <v xml:space="preserve">   Objectifs (autres que pour appareils de prise de vues, pour projecteurs ou pour appareils photographiques ou cinématographiques d'agrandissement ou de réduction)</v>
      </c>
      <c r="C11245">
        <v>2650000</v>
      </c>
      <c r="D11245">
        <v>11000</v>
      </c>
    </row>
    <row r="11246" spans="1:4" x14ac:dyDescent="0.25">
      <c r="A11246" t="str">
        <f>T("   902190")</f>
        <v xml:space="preserve">   902190</v>
      </c>
      <c r="B11246" t="s">
        <v>528</v>
      </c>
      <c r="C11246">
        <v>1410000</v>
      </c>
      <c r="D11246">
        <v>77000</v>
      </c>
    </row>
    <row r="11247" spans="1:4" x14ac:dyDescent="0.25">
      <c r="A11247" t="str">
        <f>T("   920991")</f>
        <v xml:space="preserve">   920991</v>
      </c>
      <c r="B11247" t="str">
        <f>T("   Parties et accessoires de pianos, n.d.a.")</f>
        <v xml:space="preserve">   Parties et accessoires de pianos, n.d.a.</v>
      </c>
      <c r="C11247">
        <v>135000</v>
      </c>
      <c r="D11247">
        <v>1500</v>
      </c>
    </row>
    <row r="11248" spans="1:4" x14ac:dyDescent="0.25">
      <c r="A11248" t="str">
        <f>T("   940290")</f>
        <v xml:space="preserve">   940290</v>
      </c>
      <c r="B11248"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11248">
        <v>2150000</v>
      </c>
      <c r="D11248">
        <v>22230</v>
      </c>
    </row>
    <row r="11249" spans="1:4" x14ac:dyDescent="0.25">
      <c r="A11249" t="str">
        <f>T("   940310")</f>
        <v xml:space="preserve">   940310</v>
      </c>
      <c r="B11249" t="str">
        <f>T("   Meubles de bureau en métal (sauf sièges)")</f>
        <v xml:space="preserve">   Meubles de bureau en métal (sauf sièges)</v>
      </c>
      <c r="C11249">
        <v>700000</v>
      </c>
      <c r="D11249">
        <v>19500</v>
      </c>
    </row>
    <row r="11250" spans="1:4" x14ac:dyDescent="0.25">
      <c r="A11250" t="str">
        <f>T("   940599")</f>
        <v xml:space="preserve">   940599</v>
      </c>
      <c r="B11250" t="str">
        <f>T("   Parties d'appareils d'éclairage, de lampes-réclames, d'enseignes lumineuses, de plaques indicatrices lumineuses, et simil., n.d.a.")</f>
        <v xml:space="preserve">   Parties d'appareils d'éclairage, de lampes-réclames, d'enseignes lumineuses, de plaques indicatrices lumineuses, et simil., n.d.a.</v>
      </c>
      <c r="C11250">
        <v>2140000</v>
      </c>
      <c r="D11250">
        <v>23680</v>
      </c>
    </row>
    <row r="11251" spans="1:4" x14ac:dyDescent="0.25">
      <c r="A11251" t="str">
        <f>T("   970190")</f>
        <v xml:space="preserve">   970190</v>
      </c>
      <c r="B11251" t="str">
        <f>T("   Collages et tableautins simil.")</f>
        <v xml:space="preserve">   Collages et tableautins simil.</v>
      </c>
      <c r="C11251">
        <v>600000</v>
      </c>
      <c r="D11251">
        <v>6328</v>
      </c>
    </row>
    <row r="11252" spans="1:4" x14ac:dyDescent="0.25">
      <c r="A11252" t="str">
        <f>T("ZA")</f>
        <v>ZA</v>
      </c>
      <c r="B11252" t="str">
        <f>T("Afrique du Sud")</f>
        <v>Afrique du Sud</v>
      </c>
    </row>
    <row r="11253" spans="1:4" x14ac:dyDescent="0.25">
      <c r="A11253" t="str">
        <f>T("   ZZ_Total_Produit_SH6")</f>
        <v xml:space="preserve">   ZZ_Total_Produit_SH6</v>
      </c>
      <c r="B11253" t="str">
        <f>T("   ZZ_Total_Produit_SH6")</f>
        <v xml:space="preserve">   ZZ_Total_Produit_SH6</v>
      </c>
      <c r="C11253">
        <v>13601817728</v>
      </c>
      <c r="D11253">
        <v>36508887.810000002</v>
      </c>
    </row>
    <row r="11254" spans="1:4" x14ac:dyDescent="0.25">
      <c r="A11254" t="str">
        <f>T("   030379")</f>
        <v xml:space="preserve">   030379</v>
      </c>
      <c r="B11254" t="s">
        <v>16</v>
      </c>
      <c r="C11254">
        <v>36450385</v>
      </c>
      <c r="D11254">
        <v>162000</v>
      </c>
    </row>
    <row r="11255" spans="1:4" x14ac:dyDescent="0.25">
      <c r="A11255" t="str">
        <f>T("   080510")</f>
        <v xml:space="preserve">   080510</v>
      </c>
      <c r="B11255" t="str">
        <f>T("   Oranges, fraîches ou sèches")</f>
        <v xml:space="preserve">   Oranges, fraîches ou sèches</v>
      </c>
      <c r="C11255">
        <v>2930173</v>
      </c>
      <c r="D11255">
        <v>11441</v>
      </c>
    </row>
    <row r="11256" spans="1:4" x14ac:dyDescent="0.25">
      <c r="A11256" t="str">
        <f>T("   080520")</f>
        <v xml:space="preserve">   080520</v>
      </c>
      <c r="B11256" t="str">
        <f>T("   Mandarines, y.c. les tangerines et les satsumas; clémentines, wilkings et hybrides simil. d'agrumes, frais ou secs")</f>
        <v xml:space="preserve">   Mandarines, y.c. les tangerines et les satsumas; clémentines, wilkings et hybrides simil. d'agrumes, frais ou secs</v>
      </c>
      <c r="C11256">
        <v>2800949</v>
      </c>
      <c r="D11256">
        <v>3420</v>
      </c>
    </row>
    <row r="11257" spans="1:4" x14ac:dyDescent="0.25">
      <c r="A11257" t="str">
        <f>T("   080550")</f>
        <v xml:space="preserve">   080550</v>
      </c>
      <c r="B11257" t="s">
        <v>23</v>
      </c>
      <c r="C11257">
        <v>1498869</v>
      </c>
      <c r="D11257">
        <v>6845</v>
      </c>
    </row>
    <row r="11258" spans="1:4" x14ac:dyDescent="0.25">
      <c r="A11258" t="str">
        <f>T("   080610")</f>
        <v xml:space="preserve">   080610</v>
      </c>
      <c r="B11258" t="str">
        <f>T("   Raisins, frais")</f>
        <v xml:space="preserve">   Raisins, frais</v>
      </c>
      <c r="C11258">
        <v>106627502</v>
      </c>
      <c r="D11258">
        <v>211733</v>
      </c>
    </row>
    <row r="11259" spans="1:4" x14ac:dyDescent="0.25">
      <c r="A11259" t="str">
        <f>T("   080810")</f>
        <v xml:space="preserve">   080810</v>
      </c>
      <c r="B11259" t="str">
        <f>T("   Pommes, fraîches")</f>
        <v xml:space="preserve">   Pommes, fraîches</v>
      </c>
      <c r="C11259">
        <v>4390962371</v>
      </c>
      <c r="D11259">
        <v>13256453</v>
      </c>
    </row>
    <row r="11260" spans="1:4" x14ac:dyDescent="0.25">
      <c r="A11260" t="str">
        <f>T("   080820")</f>
        <v xml:space="preserve">   080820</v>
      </c>
      <c r="B11260" t="str">
        <f>T("   Poires et coings, frais")</f>
        <v xml:space="preserve">   Poires et coings, frais</v>
      </c>
      <c r="C11260">
        <v>124060456</v>
      </c>
      <c r="D11260">
        <v>405591</v>
      </c>
    </row>
    <row r="11261" spans="1:4" x14ac:dyDescent="0.25">
      <c r="A11261" t="str">
        <f>T("   080930")</f>
        <v xml:space="preserve">   080930</v>
      </c>
      <c r="B11261" t="str">
        <f>T("   Pêches, y.c. les brugnons et nectarines, fraîches")</f>
        <v xml:space="preserve">   Pêches, y.c. les brugnons et nectarines, fraîches</v>
      </c>
      <c r="C11261">
        <v>780482</v>
      </c>
      <c r="D11261">
        <v>5049</v>
      </c>
    </row>
    <row r="11262" spans="1:4" x14ac:dyDescent="0.25">
      <c r="A11262" t="str">
        <f>T("   080940")</f>
        <v xml:space="preserve">   080940</v>
      </c>
      <c r="B11262" t="str">
        <f>T("   Prunes et prunelles, fraîches")</f>
        <v xml:space="preserve">   Prunes et prunelles, fraîches</v>
      </c>
      <c r="C11262">
        <v>4576634</v>
      </c>
      <c r="D11262">
        <v>12117</v>
      </c>
    </row>
    <row r="11263" spans="1:4" x14ac:dyDescent="0.25">
      <c r="A11263" t="str">
        <f>T("   081090")</f>
        <v xml:space="preserve">   081090</v>
      </c>
      <c r="B11263" t="s">
        <v>25</v>
      </c>
      <c r="C11263">
        <v>78715</v>
      </c>
      <c r="D11263">
        <v>672</v>
      </c>
    </row>
    <row r="11264" spans="1:4" x14ac:dyDescent="0.25">
      <c r="A11264" t="str">
        <f>T("   081320")</f>
        <v xml:space="preserve">   081320</v>
      </c>
      <c r="B11264" t="str">
        <f>T("   Pruneaux, séchés")</f>
        <v xml:space="preserve">   Pruneaux, séchés</v>
      </c>
      <c r="C11264">
        <v>1012802</v>
      </c>
      <c r="D11264">
        <v>2131</v>
      </c>
    </row>
    <row r="11265" spans="1:4" x14ac:dyDescent="0.25">
      <c r="A11265" t="str">
        <f>T("   081350")</f>
        <v xml:space="preserve">   081350</v>
      </c>
      <c r="B11265" t="str">
        <f>T("   Mélanges de fruits séchés comestibles ou de fruits à coques comestibles")</f>
        <v xml:space="preserve">   Mélanges de fruits séchés comestibles ou de fruits à coques comestibles</v>
      </c>
      <c r="C11265">
        <v>1200406</v>
      </c>
      <c r="D11265">
        <v>3301</v>
      </c>
    </row>
    <row r="11266" spans="1:4" x14ac:dyDescent="0.25">
      <c r="A11266" t="str">
        <f>T("   200979")</f>
        <v xml:space="preserve">   200979</v>
      </c>
      <c r="B11266"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1266">
        <v>742268</v>
      </c>
      <c r="D11266">
        <v>1739</v>
      </c>
    </row>
    <row r="11267" spans="1:4" x14ac:dyDescent="0.25">
      <c r="A11267" t="str">
        <f>T("   200980")</f>
        <v xml:space="preserve">   200980</v>
      </c>
      <c r="B1126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1267">
        <v>18753800</v>
      </c>
      <c r="D11267">
        <v>39617</v>
      </c>
    </row>
    <row r="11268" spans="1:4" x14ac:dyDescent="0.25">
      <c r="A11268" t="str">
        <f>T("   210390")</f>
        <v xml:space="preserve">   210390</v>
      </c>
      <c r="B11268"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1268">
        <v>68876</v>
      </c>
      <c r="D11268">
        <v>94</v>
      </c>
    </row>
    <row r="11269" spans="1:4" x14ac:dyDescent="0.25">
      <c r="A11269" t="str">
        <f>T("   210690")</f>
        <v xml:space="preserve">   210690</v>
      </c>
      <c r="B11269" t="str">
        <f>T("   Préparations alimentaires, n.d.a.")</f>
        <v xml:space="preserve">   Préparations alimentaires, n.d.a.</v>
      </c>
      <c r="C11269">
        <v>4259628</v>
      </c>
      <c r="D11269">
        <v>1743</v>
      </c>
    </row>
    <row r="11270" spans="1:4" x14ac:dyDescent="0.25">
      <c r="A11270" t="str">
        <f>T("   220210")</f>
        <v xml:space="preserve">   220210</v>
      </c>
      <c r="B1127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1270">
        <v>522445</v>
      </c>
      <c r="D11270">
        <v>434</v>
      </c>
    </row>
    <row r="11271" spans="1:4" x14ac:dyDescent="0.25">
      <c r="A11271" t="str">
        <f>T("   220290")</f>
        <v xml:space="preserve">   220290</v>
      </c>
      <c r="B11271" t="str">
        <f>T("   BOISSONS NON-ALCOOLIQUES (À L'EXCL. DES EAUX, DES JUS DE FRUITS OU DE LÉGUMES AINSI QUE DU LAIT)")</f>
        <v xml:space="preserve">   BOISSONS NON-ALCOOLIQUES (À L'EXCL. DES EAUX, DES JUS DE FRUITS OU DE LÉGUMES AINSI QUE DU LAIT)</v>
      </c>
      <c r="C11271">
        <v>970331</v>
      </c>
      <c r="D11271">
        <v>3628</v>
      </c>
    </row>
    <row r="11272" spans="1:4" x14ac:dyDescent="0.25">
      <c r="A11272" t="str">
        <f>T("   220410")</f>
        <v xml:space="preserve">   220410</v>
      </c>
      <c r="B11272" t="str">
        <f>T("   Vins mousseux produits à partir de raisins frais")</f>
        <v xml:space="preserve">   Vins mousseux produits à partir de raisins frais</v>
      </c>
      <c r="C11272">
        <v>125221</v>
      </c>
      <c r="D11272">
        <v>363</v>
      </c>
    </row>
    <row r="11273" spans="1:4" x14ac:dyDescent="0.25">
      <c r="A11273" t="str">
        <f>T("   220421")</f>
        <v xml:space="preserve">   220421</v>
      </c>
      <c r="B11273"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1273">
        <v>13777264</v>
      </c>
      <c r="D11273">
        <v>46404</v>
      </c>
    </row>
    <row r="11274" spans="1:4" x14ac:dyDescent="0.25">
      <c r="A11274" t="str">
        <f>T("   220429")</f>
        <v xml:space="preserve">   220429</v>
      </c>
      <c r="B11274"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1274">
        <v>3196603</v>
      </c>
      <c r="D11274">
        <v>10593</v>
      </c>
    </row>
    <row r="11275" spans="1:4" x14ac:dyDescent="0.25">
      <c r="A11275" t="str">
        <f>T("   220510")</f>
        <v xml:space="preserve">   220510</v>
      </c>
      <c r="B11275"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11275">
        <v>2389901</v>
      </c>
      <c r="D11275">
        <v>17250</v>
      </c>
    </row>
    <row r="11276" spans="1:4" x14ac:dyDescent="0.25">
      <c r="A11276" t="str">
        <f>T("   220590")</f>
        <v xml:space="preserve">   220590</v>
      </c>
      <c r="B11276"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11276">
        <v>1912418</v>
      </c>
      <c r="D11276">
        <v>13134</v>
      </c>
    </row>
    <row r="11277" spans="1:4" x14ac:dyDescent="0.25">
      <c r="A11277" t="str">
        <f>T("   220850")</f>
        <v xml:space="preserve">   220850</v>
      </c>
      <c r="B11277" t="str">
        <f>T("   Gin et genièvre")</f>
        <v xml:space="preserve">   Gin et genièvre</v>
      </c>
      <c r="C11277">
        <v>49556</v>
      </c>
      <c r="D11277">
        <v>145</v>
      </c>
    </row>
    <row r="11278" spans="1:4" x14ac:dyDescent="0.25">
      <c r="A11278" t="str">
        <f>T("   220890")</f>
        <v xml:space="preserve">   220890</v>
      </c>
      <c r="B11278" t="s">
        <v>61</v>
      </c>
      <c r="C11278">
        <v>3311167</v>
      </c>
      <c r="D11278">
        <v>726</v>
      </c>
    </row>
    <row r="11279" spans="1:4" x14ac:dyDescent="0.25">
      <c r="A11279" t="str">
        <f>T("   250810")</f>
        <v xml:space="preserve">   250810</v>
      </c>
      <c r="B11279" t="str">
        <f>T("   Bentonite")</f>
        <v xml:space="preserve">   Bentonite</v>
      </c>
      <c r="C11279">
        <v>16975193</v>
      </c>
      <c r="D11279">
        <v>43100</v>
      </c>
    </row>
    <row r="11280" spans="1:4" x14ac:dyDescent="0.25">
      <c r="A11280" t="str">
        <f>T("   271019")</f>
        <v xml:space="preserve">   271019</v>
      </c>
      <c r="B11280" t="str">
        <f>T("   Huiles moyennes et préparations, de pétrole ou de minéraux bitumineux, n.d.a.")</f>
        <v xml:space="preserve">   Huiles moyennes et préparations, de pétrole ou de minéraux bitumineux, n.d.a.</v>
      </c>
      <c r="C11280">
        <v>1216762683</v>
      </c>
      <c r="D11280">
        <v>3487030</v>
      </c>
    </row>
    <row r="11281" spans="1:4" x14ac:dyDescent="0.25">
      <c r="A11281" t="str">
        <f>T("   280300")</f>
        <v xml:space="preserve">   280300</v>
      </c>
      <c r="B11281" t="str">
        <f>T("   Carbone [noirs de carbone et autres formes de carbone, n.d.a.]")</f>
        <v xml:space="preserve">   Carbone [noirs de carbone et autres formes de carbone, n.d.a.]</v>
      </c>
      <c r="C11281">
        <v>32798</v>
      </c>
      <c r="D11281">
        <v>101</v>
      </c>
    </row>
    <row r="11282" spans="1:4" x14ac:dyDescent="0.25">
      <c r="A11282" t="str">
        <f>T("   280610")</f>
        <v xml:space="preserve">   280610</v>
      </c>
      <c r="B11282" t="str">
        <f>T("   Chlorure d'hydrogène [acide chlorhydrique]")</f>
        <v xml:space="preserve">   Chlorure d'hydrogène [acide chlorhydrique]</v>
      </c>
      <c r="C11282">
        <v>3911336</v>
      </c>
      <c r="D11282">
        <v>26400</v>
      </c>
    </row>
    <row r="11283" spans="1:4" x14ac:dyDescent="0.25">
      <c r="A11283" t="str">
        <f>T("   280700")</f>
        <v xml:space="preserve">   280700</v>
      </c>
      <c r="B11283" t="str">
        <f>T("   Acide sulfurique; oléum")</f>
        <v xml:space="preserve">   Acide sulfurique; oléum</v>
      </c>
      <c r="C11283">
        <v>8972808</v>
      </c>
      <c r="D11283">
        <v>54170</v>
      </c>
    </row>
    <row r="11284" spans="1:4" x14ac:dyDescent="0.25">
      <c r="A11284" t="str">
        <f>T("   282890")</f>
        <v xml:space="preserve">   282890</v>
      </c>
      <c r="B11284" t="str">
        <f>T("   Hypochlorites, chlorites et hypobromites (à l'excl. des hypochlorites de calcium)")</f>
        <v xml:space="preserve">   Hypochlorites, chlorites et hypobromites (à l'excl. des hypochlorites de calcium)</v>
      </c>
      <c r="C11284">
        <v>4838361</v>
      </c>
      <c r="D11284">
        <v>6572</v>
      </c>
    </row>
    <row r="11285" spans="1:4" x14ac:dyDescent="0.25">
      <c r="A11285" t="str">
        <f>T("   284910")</f>
        <v xml:space="preserve">   284910</v>
      </c>
      <c r="B11285" t="str">
        <f>T("   Carbure de calcium, de constitution chimique définie ou non")</f>
        <v xml:space="preserve">   Carbure de calcium, de constitution chimique définie ou non</v>
      </c>
      <c r="C11285">
        <v>10675886</v>
      </c>
      <c r="D11285">
        <v>21300</v>
      </c>
    </row>
    <row r="11286" spans="1:4" x14ac:dyDescent="0.25">
      <c r="A11286" t="str">
        <f>T("   330499")</f>
        <v xml:space="preserve">   330499</v>
      </c>
      <c r="B11286" t="s">
        <v>106</v>
      </c>
      <c r="C11286">
        <v>37815160</v>
      </c>
      <c r="D11286">
        <v>126380</v>
      </c>
    </row>
    <row r="11287" spans="1:4" x14ac:dyDescent="0.25">
      <c r="A11287" t="str">
        <f>T("   330690")</f>
        <v xml:space="preserve">   330690</v>
      </c>
      <c r="B11287"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11287">
        <v>668423</v>
      </c>
      <c r="D11287">
        <v>908</v>
      </c>
    </row>
    <row r="11288" spans="1:4" x14ac:dyDescent="0.25">
      <c r="A11288" t="str">
        <f>T("   340111")</f>
        <v xml:space="preserve">   340111</v>
      </c>
      <c r="B11288" t="s">
        <v>107</v>
      </c>
      <c r="C11288">
        <v>5243039</v>
      </c>
      <c r="D11288">
        <v>15438</v>
      </c>
    </row>
    <row r="11289" spans="1:4" x14ac:dyDescent="0.25">
      <c r="A11289" t="str">
        <f>T("   340220")</f>
        <v xml:space="preserve">   340220</v>
      </c>
      <c r="B11289" t="s">
        <v>109</v>
      </c>
      <c r="C11289">
        <v>1249604</v>
      </c>
      <c r="D11289">
        <v>1697</v>
      </c>
    </row>
    <row r="11290" spans="1:4" x14ac:dyDescent="0.25">
      <c r="A11290" t="str">
        <f>T("   340540")</f>
        <v xml:space="preserve">   340540</v>
      </c>
      <c r="B11290"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11290">
        <v>4358198</v>
      </c>
      <c r="D11290">
        <v>5920</v>
      </c>
    </row>
    <row r="11291" spans="1:4" x14ac:dyDescent="0.25">
      <c r="A11291" t="str">
        <f>T("   380991")</f>
        <v xml:space="preserve">   380991</v>
      </c>
      <c r="B11291" t="s">
        <v>128</v>
      </c>
      <c r="C11291">
        <v>646121</v>
      </c>
      <c r="D11291">
        <v>878</v>
      </c>
    </row>
    <row r="11292" spans="1:4" x14ac:dyDescent="0.25">
      <c r="A11292" t="str">
        <f>T("   382490")</f>
        <v xml:space="preserve">   382490</v>
      </c>
      <c r="B1129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1292">
        <v>11825151</v>
      </c>
      <c r="D11292">
        <v>41250</v>
      </c>
    </row>
    <row r="11293" spans="1:4" x14ac:dyDescent="0.25">
      <c r="A11293" t="str">
        <f>T("   390110")</f>
        <v xml:space="preserve">   390110</v>
      </c>
      <c r="B11293" t="str">
        <f>T("   Polyéthylène d'une densité &lt; 0,94, sous formes primaires")</f>
        <v xml:space="preserve">   Polyéthylène d'une densité &lt; 0,94, sous formes primaires</v>
      </c>
      <c r="C11293">
        <v>53755708</v>
      </c>
      <c r="D11293">
        <v>70542</v>
      </c>
    </row>
    <row r="11294" spans="1:4" x14ac:dyDescent="0.25">
      <c r="A11294" t="str">
        <f>T("   390190")</f>
        <v xml:space="preserve">   390190</v>
      </c>
      <c r="B11294"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11294">
        <v>11352779</v>
      </c>
      <c r="D11294">
        <v>17000</v>
      </c>
    </row>
    <row r="11295" spans="1:4" x14ac:dyDescent="0.25">
      <c r="A11295" t="str">
        <f>T("   390210")</f>
        <v xml:space="preserve">   390210</v>
      </c>
      <c r="B11295" t="str">
        <f>T("   Polypropylène, sous formes primaires")</f>
        <v xml:space="preserve">   Polypropylène, sous formes primaires</v>
      </c>
      <c r="C11295">
        <v>56322693</v>
      </c>
      <c r="D11295">
        <v>68000</v>
      </c>
    </row>
    <row r="11296" spans="1:4" x14ac:dyDescent="0.25">
      <c r="A11296" t="str">
        <f>T("   392329")</f>
        <v xml:space="preserve">   392329</v>
      </c>
      <c r="B11296" t="str">
        <f>T("   Sacs, sachets, pochettes et cornets, en matières plastiques (autres que les polymères de l'éthylène)")</f>
        <v xml:space="preserve">   Sacs, sachets, pochettes et cornets, en matières plastiques (autres que les polymères de l'éthylène)</v>
      </c>
      <c r="C11296">
        <v>1330297</v>
      </c>
      <c r="D11296">
        <v>1420</v>
      </c>
    </row>
    <row r="11297" spans="1:4" x14ac:dyDescent="0.25">
      <c r="A11297" t="str">
        <f>T("   392350")</f>
        <v xml:space="preserve">   392350</v>
      </c>
      <c r="B11297" t="str">
        <f>T("   Bouchons, couvercles, capsules et autres dispositifs de fermeture, en matières plastiques")</f>
        <v xml:space="preserve">   Bouchons, couvercles, capsules et autres dispositifs de fermeture, en matières plastiques</v>
      </c>
      <c r="C11297">
        <v>136960</v>
      </c>
      <c r="D11297">
        <v>127</v>
      </c>
    </row>
    <row r="11298" spans="1:4" x14ac:dyDescent="0.25">
      <c r="A11298" t="str">
        <f>T("   392390")</f>
        <v xml:space="preserve">   392390</v>
      </c>
      <c r="B11298" t="s">
        <v>156</v>
      </c>
      <c r="C11298">
        <v>187401</v>
      </c>
      <c r="D11298">
        <v>118</v>
      </c>
    </row>
    <row r="11299" spans="1:4" x14ac:dyDescent="0.25">
      <c r="A11299" t="str">
        <f>T("   392410")</f>
        <v xml:space="preserve">   392410</v>
      </c>
      <c r="B11299" t="str">
        <f>T("   Vaisselle et autres articles pour le service de la table ou de la cuisine, en matières plastiques")</f>
        <v xml:space="preserve">   Vaisselle et autres articles pour le service de la table ou de la cuisine, en matières plastiques</v>
      </c>
      <c r="C11299">
        <v>1199005</v>
      </c>
      <c r="D11299">
        <v>739</v>
      </c>
    </row>
    <row r="11300" spans="1:4" x14ac:dyDescent="0.25">
      <c r="A11300" t="str">
        <f>T("   392610")</f>
        <v xml:space="preserve">   392610</v>
      </c>
      <c r="B11300" t="str">
        <f>T("   Articles de bureau et articles scolaires, en matières plastiques, n.d.a.")</f>
        <v xml:space="preserve">   Articles de bureau et articles scolaires, en matières plastiques, n.d.a.</v>
      </c>
      <c r="C11300">
        <v>21650</v>
      </c>
      <c r="D11300">
        <v>13</v>
      </c>
    </row>
    <row r="11301" spans="1:4" x14ac:dyDescent="0.25">
      <c r="A11301" t="str">
        <f>T("   401110")</f>
        <v xml:space="preserve">   401110</v>
      </c>
      <c r="B11301"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301">
        <v>4386298</v>
      </c>
      <c r="D11301">
        <v>1168.21</v>
      </c>
    </row>
    <row r="11302" spans="1:4" x14ac:dyDescent="0.25">
      <c r="A11302" t="str">
        <f>T("   401120")</f>
        <v xml:space="preserve">   401120</v>
      </c>
      <c r="B1130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1302">
        <v>7218260</v>
      </c>
      <c r="D11302">
        <v>1837.7</v>
      </c>
    </row>
    <row r="11303" spans="1:4" x14ac:dyDescent="0.25">
      <c r="A11303" t="str">
        <f>T("   401130")</f>
        <v xml:space="preserve">   401130</v>
      </c>
      <c r="B11303" t="str">
        <f>T("   Pneumatiques neufs, en caoutchouc, des types utilisés pour véhicules aériens")</f>
        <v xml:space="preserve">   Pneumatiques neufs, en caoutchouc, des types utilisés pour véhicules aériens</v>
      </c>
      <c r="C11303">
        <v>53286</v>
      </c>
      <c r="D11303">
        <v>23</v>
      </c>
    </row>
    <row r="11304" spans="1:4" x14ac:dyDescent="0.25">
      <c r="A11304" t="str">
        <f>T("   440310")</f>
        <v xml:space="preserve">   440310</v>
      </c>
      <c r="B11304" t="s">
        <v>177</v>
      </c>
      <c r="C11304">
        <v>80225219</v>
      </c>
      <c r="D11304">
        <v>227051</v>
      </c>
    </row>
    <row r="11305" spans="1:4" x14ac:dyDescent="0.25">
      <c r="A11305" t="str">
        <f>T("   440399")</f>
        <v xml:space="preserve">   440399</v>
      </c>
      <c r="B11305" t="s">
        <v>178</v>
      </c>
      <c r="C11305">
        <v>69751506</v>
      </c>
      <c r="D11305">
        <v>188360</v>
      </c>
    </row>
    <row r="11306" spans="1:4" x14ac:dyDescent="0.25">
      <c r="A11306" t="str">
        <f>T("   480256")</f>
        <v xml:space="preserve">   480256</v>
      </c>
      <c r="B11306" t="s">
        <v>207</v>
      </c>
      <c r="C11306">
        <v>5397805</v>
      </c>
      <c r="D11306">
        <v>19960</v>
      </c>
    </row>
    <row r="11307" spans="1:4" x14ac:dyDescent="0.25">
      <c r="A11307" t="str">
        <f>T("   480257")</f>
        <v xml:space="preserve">   480257</v>
      </c>
      <c r="B11307" t="s">
        <v>208</v>
      </c>
      <c r="C11307">
        <v>159568943</v>
      </c>
      <c r="D11307">
        <v>437317</v>
      </c>
    </row>
    <row r="11308" spans="1:4" x14ac:dyDescent="0.25">
      <c r="A11308" t="str">
        <f>T("   480810")</f>
        <v xml:space="preserve">   480810</v>
      </c>
      <c r="B11308" t="str">
        <f>T("   Papiers et cartons ondulés, même avec recouvrement par collage, même perforés, en rouleaux d'une largeur &gt; 36 cm ou en feuilles de forme carrée ou rectangulaire dont au moins un coté &gt; 36 cm et l'autre &gt; 15 cm à l'état non plié")</f>
        <v xml:space="preserve">   Papiers et cartons ondulés, même avec recouvrement par collage, même perforés, en rouleaux d'une largeur &gt; 36 cm ou en feuilles de forme carrée ou rectangulaire dont au moins un coté &gt; 36 cm et l'autre &gt; 15 cm à l'état non plié</v>
      </c>
      <c r="C11308">
        <v>24152130</v>
      </c>
      <c r="D11308">
        <v>18750</v>
      </c>
    </row>
    <row r="11309" spans="1:4" x14ac:dyDescent="0.25">
      <c r="A11309" t="str">
        <f>T("   481890")</f>
        <v xml:space="preserve">   481890</v>
      </c>
      <c r="B11309" t="s">
        <v>232</v>
      </c>
      <c r="C11309">
        <v>651192</v>
      </c>
      <c r="D11309">
        <v>437</v>
      </c>
    </row>
    <row r="11310" spans="1:4" x14ac:dyDescent="0.25">
      <c r="A11310" t="str">
        <f>T("   482090")</f>
        <v xml:space="preserve">   482090</v>
      </c>
      <c r="B11310" t="s">
        <v>234</v>
      </c>
      <c r="C11310">
        <v>52412</v>
      </c>
      <c r="D11310">
        <v>33</v>
      </c>
    </row>
    <row r="11311" spans="1:4" x14ac:dyDescent="0.25">
      <c r="A11311" t="str">
        <f>T("   482340")</f>
        <v xml:space="preserve">   482340</v>
      </c>
      <c r="B11311"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11311">
        <v>420446148</v>
      </c>
      <c r="D11311">
        <v>812397</v>
      </c>
    </row>
    <row r="11312" spans="1:4" x14ac:dyDescent="0.25">
      <c r="A11312" t="str">
        <f>T("   482390")</f>
        <v xml:space="preserve">   482390</v>
      </c>
      <c r="B11312" t="s">
        <v>235</v>
      </c>
      <c r="C11312">
        <v>60074</v>
      </c>
      <c r="D11312">
        <v>51</v>
      </c>
    </row>
    <row r="11313" spans="1:4" x14ac:dyDescent="0.25">
      <c r="A11313" t="str">
        <f>T("   490199")</f>
        <v xml:space="preserve">   490199</v>
      </c>
      <c r="B1131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313">
        <v>667973</v>
      </c>
      <c r="D11313">
        <v>1162.5999999999999</v>
      </c>
    </row>
    <row r="11314" spans="1:4" x14ac:dyDescent="0.25">
      <c r="A11314" t="str">
        <f>T("   490290")</f>
        <v xml:space="preserve">   490290</v>
      </c>
      <c r="B11314"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1314">
        <v>125000</v>
      </c>
      <c r="D11314">
        <v>35</v>
      </c>
    </row>
    <row r="11315" spans="1:4" x14ac:dyDescent="0.25">
      <c r="A11315" t="str">
        <f>T("   491110")</f>
        <v xml:space="preserve">   491110</v>
      </c>
      <c r="B11315" t="str">
        <f>T("   Imprimés publicitaires, catalogues commerciaux et simil.")</f>
        <v xml:space="preserve">   Imprimés publicitaires, catalogues commerciaux et simil.</v>
      </c>
      <c r="C11315">
        <v>40000</v>
      </c>
      <c r="D11315">
        <v>58</v>
      </c>
    </row>
    <row r="11316" spans="1:4" x14ac:dyDescent="0.25">
      <c r="A11316" t="str">
        <f>T("   610510")</f>
        <v xml:space="preserve">   610510</v>
      </c>
      <c r="B11316"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1316">
        <v>240000</v>
      </c>
      <c r="D11316">
        <v>114</v>
      </c>
    </row>
    <row r="11317" spans="1:4" x14ac:dyDescent="0.25">
      <c r="A11317" t="str">
        <f>T("   611420")</f>
        <v xml:space="preserve">   611420</v>
      </c>
      <c r="B11317" t="str">
        <f>T("   Vêtements spéciaux destinés à des fins professionnelles, sportives ou autres n.d.a., en bonneterie, de coton")</f>
        <v xml:space="preserve">   Vêtements spéciaux destinés à des fins professionnelles, sportives ou autres n.d.a., en bonneterie, de coton</v>
      </c>
      <c r="C11317">
        <v>11949855</v>
      </c>
      <c r="D11317">
        <v>221</v>
      </c>
    </row>
    <row r="11318" spans="1:4" x14ac:dyDescent="0.25">
      <c r="A11318" t="str">
        <f>T("   620112")</f>
        <v xml:space="preserve">   620112</v>
      </c>
      <c r="B11318" t="str">
        <f>T("   Manteaux, imperméables, cabans, capes et articles simil., de coton, pour hommes ou garçonnets (à l'excl. des articles en bonneterie)")</f>
        <v xml:space="preserve">   Manteaux, imperméables, cabans, capes et articles simil., de coton, pour hommes ou garçonnets (à l'excl. des articles en bonneterie)</v>
      </c>
      <c r="C11318">
        <v>2151646</v>
      </c>
      <c r="D11318">
        <v>567</v>
      </c>
    </row>
    <row r="11319" spans="1:4" x14ac:dyDescent="0.25">
      <c r="A11319" t="str">
        <f>T("   620590")</f>
        <v xml:space="preserve">   620590</v>
      </c>
      <c r="B1131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319">
        <v>1850000</v>
      </c>
      <c r="D11319">
        <v>1350</v>
      </c>
    </row>
    <row r="11320" spans="1:4" x14ac:dyDescent="0.25">
      <c r="A11320" t="str">
        <f>T("   621139")</f>
        <v xml:space="preserve">   621139</v>
      </c>
      <c r="B11320"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11320">
        <v>500000</v>
      </c>
      <c r="D11320">
        <v>50</v>
      </c>
    </row>
    <row r="11321" spans="1:4" x14ac:dyDescent="0.25">
      <c r="A11321" t="str">
        <f>T("   621490")</f>
        <v xml:space="preserve">   621490</v>
      </c>
      <c r="B11321"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11321">
        <v>240000</v>
      </c>
      <c r="D11321">
        <v>120</v>
      </c>
    </row>
    <row r="11322" spans="1:4" x14ac:dyDescent="0.25">
      <c r="A11322" t="str">
        <f>T("   630260")</f>
        <v xml:space="preserve">   630260</v>
      </c>
      <c r="B11322"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11322">
        <v>247377</v>
      </c>
      <c r="D11322">
        <v>188</v>
      </c>
    </row>
    <row r="11323" spans="1:4" x14ac:dyDescent="0.25">
      <c r="A11323" t="str">
        <f>T("   630319")</f>
        <v xml:space="preserve">   630319</v>
      </c>
      <c r="B11323"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11323">
        <v>95000</v>
      </c>
      <c r="D11323">
        <v>32</v>
      </c>
    </row>
    <row r="11324" spans="1:4" x14ac:dyDescent="0.25">
      <c r="A11324" t="str">
        <f>T("   640590")</f>
        <v xml:space="preserve">   640590</v>
      </c>
      <c r="B11324" t="s">
        <v>311</v>
      </c>
      <c r="C11324">
        <v>7563891</v>
      </c>
      <c r="D11324">
        <v>20080</v>
      </c>
    </row>
    <row r="11325" spans="1:4" x14ac:dyDescent="0.25">
      <c r="A11325" t="str">
        <f>T("   711790")</f>
        <v xml:space="preserve">   711790</v>
      </c>
      <c r="B11325" t="str">
        <f>T("   Bijouterie de fantaisie (autre qu'en métaux communs, même argentés, dorés ou platinés)")</f>
        <v xml:space="preserve">   Bijouterie de fantaisie (autre qu'en métaux communs, même argentés, dorés ou platinés)</v>
      </c>
      <c r="C11325">
        <v>600000</v>
      </c>
      <c r="D11325">
        <v>290</v>
      </c>
    </row>
    <row r="11326" spans="1:4" x14ac:dyDescent="0.25">
      <c r="A11326" t="str">
        <f>T("   720827")</f>
        <v xml:space="preserve">   720827</v>
      </c>
      <c r="B11326" t="str">
        <f>T("   PRODUITS LAMINÉS PLATS, EN FER OU EN ACIERS NON ALLIÉS, D'UNE LARGEUR &gt;= 600 MM, ENROULÉS, SIMPLEMENT LAMINÉS À CHAUD, NON PLAQUÉS NI REVÊTUS, ÉPAISSEUR &lt; 3 MM, DÉCAPÉS (SANS MOTIFS EN RELIEF)")</f>
        <v xml:space="preserve">   PRODUITS LAMINÉS PLATS, EN FER OU EN ACIERS NON ALLIÉS, D'UNE LARGEUR &gt;= 600 MM, ENROULÉS, SIMPLEMENT LAMINÉS À CHAUD, NON PLAQUÉS NI REVÊTUS, ÉPAISSEUR &lt; 3 MM, DÉCAPÉS (SANS MOTIFS EN RELIEF)</v>
      </c>
      <c r="C11326">
        <v>211753071</v>
      </c>
      <c r="D11326">
        <v>605730</v>
      </c>
    </row>
    <row r="11327" spans="1:4" x14ac:dyDescent="0.25">
      <c r="A11327" t="str">
        <f>T("   720836")</f>
        <v xml:space="preserve">   720836</v>
      </c>
      <c r="B11327" t="str">
        <f>T("   PRODUITS LAMINÉS PLATS, EN FER OU EN ACIERS NON ALLIÉS, D'UNE LARGEUR &gt;= 600 MM, ENROULÉS, SIMPLEMENT LAMINÉS À CHAUD, NON PLAQUÉS NI REVÊTUS, ÉPAISSEUR &gt; 10 MM (SANS MOTIFS EN RELIEF, ET AUTRES QUE DÉCAPÉS)")</f>
        <v xml:space="preserve">   PRODUITS LAMINÉS PLATS, EN FER OU EN ACIERS NON ALLIÉS, D'UNE LARGEUR &gt;= 600 MM, ENROULÉS, SIMPLEMENT LAMINÉS À CHAUD, NON PLAQUÉS NI REVÊTUS, ÉPAISSEUR &gt; 10 MM (SANS MOTIFS EN RELIEF, ET AUTRES QUE DÉCAPÉS)</v>
      </c>
      <c r="C11327">
        <v>487946342</v>
      </c>
      <c r="D11327">
        <v>1402430</v>
      </c>
    </row>
    <row r="11328" spans="1:4" x14ac:dyDescent="0.25">
      <c r="A11328" t="str">
        <f>T("   721012")</f>
        <v xml:space="preserve">   721012</v>
      </c>
      <c r="B11328" t="str">
        <f>T("   PRODUITS LAMINÉS PLATS, EN FER OU EN ACIERS NON-ALLIÉS, D'UNE LARGEUR &gt;= 600 MM, LAMINÉS À CHAUD OU À FROID, ÉTAMÉS, D'UNE ÉPAISSEUR &lt; 0,5 MM")</f>
        <v xml:space="preserve">   PRODUITS LAMINÉS PLATS, EN FER OU EN ACIERS NON-ALLIÉS, D'UNE LARGEUR &gt;= 600 MM, LAMINÉS À CHAUD OU À FROID, ÉTAMÉS, D'UNE ÉPAISSEUR &lt; 0,5 MM</v>
      </c>
      <c r="C11328">
        <v>22973097</v>
      </c>
      <c r="D11328">
        <v>48521</v>
      </c>
    </row>
    <row r="11329" spans="1:4" x14ac:dyDescent="0.25">
      <c r="A11329" t="str">
        <f>T("   721391")</f>
        <v xml:space="preserve">   721391</v>
      </c>
      <c r="B1132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1329">
        <v>2371921185</v>
      </c>
      <c r="D11329">
        <v>7351116</v>
      </c>
    </row>
    <row r="11330" spans="1:4" x14ac:dyDescent="0.25">
      <c r="A11330" t="str">
        <f>T("   721399")</f>
        <v xml:space="preserve">   721399</v>
      </c>
      <c r="B11330" t="s">
        <v>365</v>
      </c>
      <c r="C11330">
        <v>2107259577</v>
      </c>
      <c r="D11330">
        <v>6371340</v>
      </c>
    </row>
    <row r="11331" spans="1:4" x14ac:dyDescent="0.25">
      <c r="A11331" t="str">
        <f>T("   721621")</f>
        <v xml:space="preserve">   721621</v>
      </c>
      <c r="B11331" t="str">
        <f>T("   PROFILÉS EN L EN FER OU ACIERS NON ALLIÉS, SIMPLEMENT LAMINÉS OU FILÉS À CHAUD, HAUTEUR &lt; 80 MM")</f>
        <v xml:space="preserve">   PROFILÉS EN L EN FER OU ACIERS NON ALLIÉS, SIMPLEMENT LAMINÉS OU FILÉS À CHAUD, HAUTEUR &lt; 80 MM</v>
      </c>
      <c r="C11331">
        <v>191143693</v>
      </c>
      <c r="D11331">
        <v>607000</v>
      </c>
    </row>
    <row r="11332" spans="1:4" x14ac:dyDescent="0.25">
      <c r="A11332" t="str">
        <f>T("   721631")</f>
        <v xml:space="preserve">   721631</v>
      </c>
      <c r="B11332" t="str">
        <f>T("   PROFILÉS EN U, EN FER OU EN ACIERS NON-ALLIÉS, SIMPL. LAMINÉS OU FILÉS À CHAUD, D'UNE HAUTEUR &gt;= 80 MM")</f>
        <v xml:space="preserve">   PROFILÉS EN U, EN FER OU EN ACIERS NON-ALLIÉS, SIMPL. LAMINÉS OU FILÉS À CHAUD, D'UNE HAUTEUR &gt;= 80 MM</v>
      </c>
      <c r="C11332">
        <v>3412457</v>
      </c>
      <c r="D11332">
        <v>8782</v>
      </c>
    </row>
    <row r="11333" spans="1:4" x14ac:dyDescent="0.25">
      <c r="A11333" t="str">
        <f>T("   721632")</f>
        <v xml:space="preserve">   721632</v>
      </c>
      <c r="B11333" t="str">
        <f>T("   PROFILÉS EN I, EN FER OU EN ACIERS NON-ALLIÉS, SIMPL. LAMINÉS OU FILÉS À CHAUD, D'UNE HAUTEUR &gt;= 80 MM")</f>
        <v xml:space="preserve">   PROFILÉS EN I, EN FER OU EN ACIERS NON-ALLIÉS, SIMPL. LAMINÉS OU FILÉS À CHAUD, D'UNE HAUTEUR &gt;= 80 MM</v>
      </c>
      <c r="C11333">
        <v>11434038</v>
      </c>
      <c r="D11333">
        <v>32028</v>
      </c>
    </row>
    <row r="11334" spans="1:4" x14ac:dyDescent="0.25">
      <c r="A11334" t="str">
        <f>T("   721699")</f>
        <v xml:space="preserve">   721699</v>
      </c>
      <c r="B11334" t="s">
        <v>368</v>
      </c>
      <c r="C11334">
        <v>4330647</v>
      </c>
      <c r="D11334">
        <v>11144</v>
      </c>
    </row>
    <row r="11335" spans="1:4" x14ac:dyDescent="0.25">
      <c r="A11335" t="str">
        <f>T("   730799")</f>
        <v xml:space="preserve">   730799</v>
      </c>
      <c r="B1133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1335">
        <v>865891</v>
      </c>
      <c r="D11335">
        <v>3</v>
      </c>
    </row>
    <row r="11336" spans="1:4" x14ac:dyDescent="0.25">
      <c r="A11336" t="str">
        <f>T("   730820")</f>
        <v xml:space="preserve">   730820</v>
      </c>
      <c r="B11336" t="str">
        <f>T("   Tours et pylônes, en fer ou en acier")</f>
        <v xml:space="preserve">   Tours et pylônes, en fer ou en acier</v>
      </c>
      <c r="C11336">
        <v>38836410</v>
      </c>
      <c r="D11336">
        <v>5792</v>
      </c>
    </row>
    <row r="11337" spans="1:4" x14ac:dyDescent="0.25">
      <c r="A11337" t="str">
        <f>T("   730890")</f>
        <v xml:space="preserve">   730890</v>
      </c>
      <c r="B11337" t="s">
        <v>376</v>
      </c>
      <c r="C11337">
        <v>37544245</v>
      </c>
      <c r="D11337">
        <v>6765</v>
      </c>
    </row>
    <row r="11338" spans="1:4" x14ac:dyDescent="0.25">
      <c r="A11338" t="str">
        <f>T("   732394")</f>
        <v xml:space="preserve">   732394</v>
      </c>
      <c r="B11338" t="s">
        <v>389</v>
      </c>
      <c r="C11338">
        <v>1250000</v>
      </c>
      <c r="D11338">
        <v>755</v>
      </c>
    </row>
    <row r="11339" spans="1:4" x14ac:dyDescent="0.25">
      <c r="A11339" t="str">
        <f>T("   732690")</f>
        <v xml:space="preserve">   732690</v>
      </c>
      <c r="B11339"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1339">
        <v>19299370</v>
      </c>
      <c r="D11339">
        <v>560</v>
      </c>
    </row>
    <row r="11340" spans="1:4" x14ac:dyDescent="0.25">
      <c r="A11340" t="str">
        <f>T("   761511")</f>
        <v xml:space="preserve">   761511</v>
      </c>
      <c r="B11340"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11340">
        <v>467844</v>
      </c>
      <c r="D11340">
        <v>354</v>
      </c>
    </row>
    <row r="11341" spans="1:4" x14ac:dyDescent="0.25">
      <c r="A11341" t="str">
        <f>T("   761519")</f>
        <v xml:space="preserve">   761519</v>
      </c>
      <c r="B11341" t="s">
        <v>397</v>
      </c>
      <c r="C11341">
        <v>193332</v>
      </c>
      <c r="D11341">
        <v>118</v>
      </c>
    </row>
    <row r="11342" spans="1:4" x14ac:dyDescent="0.25">
      <c r="A11342" t="str">
        <f>T("   821191")</f>
        <v xml:space="preserve">   821191</v>
      </c>
      <c r="B11342" t="str">
        <f>T("   Couteaux de table à lame fixe, en métaux communs, y.c. les manches (sauf couteaux à beurre et couteaux à poisson)")</f>
        <v xml:space="preserve">   Couteaux de table à lame fixe, en métaux communs, y.c. les manches (sauf couteaux à beurre et couteaux à poisson)</v>
      </c>
      <c r="C11342">
        <v>72190</v>
      </c>
      <c r="D11342">
        <v>26</v>
      </c>
    </row>
    <row r="11343" spans="1:4" x14ac:dyDescent="0.25">
      <c r="A11343" t="str">
        <f>T("   821599")</f>
        <v xml:space="preserve">   821599</v>
      </c>
      <c r="B11343" t="s">
        <v>404</v>
      </c>
      <c r="C11343">
        <v>22729</v>
      </c>
      <c r="D11343">
        <v>30</v>
      </c>
    </row>
    <row r="11344" spans="1:4" x14ac:dyDescent="0.25">
      <c r="A11344" t="str">
        <f>T("   840999")</f>
        <v xml:space="preserve">   840999</v>
      </c>
      <c r="B1134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1344">
        <v>82918</v>
      </c>
      <c r="D11344">
        <v>21</v>
      </c>
    </row>
    <row r="11345" spans="1:4" x14ac:dyDescent="0.25">
      <c r="A11345" t="str">
        <f>T("   841290")</f>
        <v xml:space="preserve">   841290</v>
      </c>
      <c r="B11345" t="str">
        <f>T("   PARTIES DE MOTEURS ET MACHINES MOTRICES NON-ÉLECTRIQUES, N.D.A.")</f>
        <v xml:space="preserve">   PARTIES DE MOTEURS ET MACHINES MOTRICES NON-ÉLECTRIQUES, N.D.A.</v>
      </c>
      <c r="C11345">
        <v>410757</v>
      </c>
      <c r="D11345">
        <v>100</v>
      </c>
    </row>
    <row r="11346" spans="1:4" x14ac:dyDescent="0.25">
      <c r="A11346" t="str">
        <f>T("   841319")</f>
        <v xml:space="preserve">   841319</v>
      </c>
      <c r="B11346"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11346">
        <v>1954740</v>
      </c>
      <c r="D11346">
        <v>11</v>
      </c>
    </row>
    <row r="11347" spans="1:4" x14ac:dyDescent="0.25">
      <c r="A11347" t="str">
        <f>T("   842123")</f>
        <v xml:space="preserve">   842123</v>
      </c>
      <c r="B11347"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347">
        <v>5318436</v>
      </c>
      <c r="D11347">
        <v>10</v>
      </c>
    </row>
    <row r="11348" spans="1:4" x14ac:dyDescent="0.25">
      <c r="A11348" t="str">
        <f>T("   843120")</f>
        <v xml:space="preserve">   843120</v>
      </c>
      <c r="B11348" t="str">
        <f>T("   Parties de chariots-gerbeurs et autres chariots de manutention munis d'un dispositif de levage, n.d.a.")</f>
        <v xml:space="preserve">   Parties de chariots-gerbeurs et autres chariots de manutention munis d'un dispositif de levage, n.d.a.</v>
      </c>
      <c r="C11348">
        <v>1425469</v>
      </c>
      <c r="D11348">
        <v>54</v>
      </c>
    </row>
    <row r="11349" spans="1:4" x14ac:dyDescent="0.25">
      <c r="A11349" t="str">
        <f>T("   843890")</f>
        <v xml:space="preserve">   843890</v>
      </c>
      <c r="B11349"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1349">
        <v>91477408</v>
      </c>
      <c r="D11349">
        <v>3865</v>
      </c>
    </row>
    <row r="11350" spans="1:4" x14ac:dyDescent="0.25">
      <c r="A11350" t="str">
        <f>T("   846490")</f>
        <v xml:space="preserve">   846490</v>
      </c>
      <c r="B11350" t="s">
        <v>452</v>
      </c>
      <c r="C11350">
        <v>52498460</v>
      </c>
      <c r="D11350">
        <v>6370</v>
      </c>
    </row>
    <row r="11351" spans="1:4" x14ac:dyDescent="0.25">
      <c r="A11351" t="str">
        <f>T("   846694")</f>
        <v xml:space="preserve">   846694</v>
      </c>
      <c r="B11351" t="str">
        <f>T("   Parties et accessoires pour machines-outils pour le travail du métal avec enlèvement de matière, n.d.a.")</f>
        <v xml:space="preserve">   Parties et accessoires pour machines-outils pour le travail du métal avec enlèvement de matière, n.d.a.</v>
      </c>
      <c r="C11351">
        <v>31756427</v>
      </c>
      <c r="D11351">
        <v>1194</v>
      </c>
    </row>
    <row r="11352" spans="1:4" x14ac:dyDescent="0.25">
      <c r="A11352" t="str">
        <f>T("   847180")</f>
        <v xml:space="preserve">   847180</v>
      </c>
      <c r="B1135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1352">
        <v>9845551</v>
      </c>
      <c r="D11352">
        <v>16</v>
      </c>
    </row>
    <row r="11353" spans="1:4" x14ac:dyDescent="0.25">
      <c r="A11353" t="str">
        <f>T("   847190")</f>
        <v xml:space="preserve">   847190</v>
      </c>
      <c r="B1135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353">
        <v>280946381</v>
      </c>
      <c r="D11353">
        <v>716</v>
      </c>
    </row>
    <row r="11354" spans="1:4" x14ac:dyDescent="0.25">
      <c r="A11354" t="str">
        <f>T("   848180")</f>
        <v xml:space="preserve">   848180</v>
      </c>
      <c r="B1135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354">
        <v>362966</v>
      </c>
      <c r="D11354">
        <v>43</v>
      </c>
    </row>
    <row r="11355" spans="1:4" x14ac:dyDescent="0.25">
      <c r="A11355" t="str">
        <f>T("   848360")</f>
        <v xml:space="preserve">   848360</v>
      </c>
      <c r="B11355" t="str">
        <f>T("   Embrayages et organes d'accouplement, y.c. les joints d'articulation, pour machines")</f>
        <v xml:space="preserve">   Embrayages et organes d'accouplement, y.c. les joints d'articulation, pour machines</v>
      </c>
      <c r="C11355">
        <v>4947441</v>
      </c>
      <c r="D11355">
        <v>167</v>
      </c>
    </row>
    <row r="11356" spans="1:4" x14ac:dyDescent="0.25">
      <c r="A11356" t="str">
        <f>T("   850790")</f>
        <v xml:space="preserve">   850790</v>
      </c>
      <c r="B11356" t="str">
        <f>T("   Plaques, séparateurs et autres parties d'accumulateurs électriques n.d.a.")</f>
        <v xml:space="preserve">   Plaques, séparateurs et autres parties d'accumulateurs électriques n.d.a.</v>
      </c>
      <c r="C11356">
        <v>1546963</v>
      </c>
      <c r="D11356">
        <v>3</v>
      </c>
    </row>
    <row r="11357" spans="1:4" x14ac:dyDescent="0.25">
      <c r="A11357" t="str">
        <f>T("   851769")</f>
        <v xml:space="preserve">   851769</v>
      </c>
      <c r="B11357" t="s">
        <v>481</v>
      </c>
      <c r="C11357">
        <v>11295367</v>
      </c>
      <c r="D11357">
        <v>3558</v>
      </c>
    </row>
    <row r="11358" spans="1:4" x14ac:dyDescent="0.25">
      <c r="A11358" t="str">
        <f>T("   851770")</f>
        <v xml:space="preserve">   851770</v>
      </c>
      <c r="B11358" t="str">
        <f>T("   PARTIES DE POSTES TÉLÉPHONIQUES D'USAGERS, DE TÉLÉPHONES POUR RÉSEAUX CELLULAIRES ET D'AUTRES RÉSEAUX SANS FIL AINSI QUE D'AUTRES APPAREILS POUR LA TRANSMISSION OU LA RÉCEPTION DE LA VOIX, D'IMAGES OU D'AUTRES DONNÉES, N.D.A.")</f>
        <v xml:space="preserve">   PARTIES DE POSTES TÉLÉPHONIQUES D'USAGERS, DE TÉLÉPHONES POUR RÉSEAUX CELLULAIRES ET D'AUTRES RÉSEAUX SANS FIL AINSI QUE D'AUTRES APPAREILS POUR LA TRANSMISSION OU LA RÉCEPTION DE LA VOIX, D'IMAGES OU D'AUTRES DONNÉES, N.D.A.</v>
      </c>
      <c r="C11358">
        <v>2307553</v>
      </c>
      <c r="D11358">
        <v>167</v>
      </c>
    </row>
    <row r="11359" spans="1:4" x14ac:dyDescent="0.25">
      <c r="A11359" t="str">
        <f>T("   852812")</f>
        <v xml:space="preserve">   852812</v>
      </c>
      <c r="B1135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359">
        <v>45292</v>
      </c>
      <c r="D11359">
        <v>5</v>
      </c>
    </row>
    <row r="11360" spans="1:4" x14ac:dyDescent="0.25">
      <c r="A11360" t="str">
        <f>T("   852849")</f>
        <v xml:space="preserve">   852849</v>
      </c>
      <c r="B11360"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11360">
        <v>1191703</v>
      </c>
      <c r="D11360">
        <v>68.5</v>
      </c>
    </row>
    <row r="11361" spans="1:4" x14ac:dyDescent="0.25">
      <c r="A11361" t="str">
        <f>T("   852859")</f>
        <v xml:space="preserve">   852859</v>
      </c>
      <c r="B11361" t="str">
        <f>T("   MONITEURS N'INCORPORANT PAS D'APPAREIL DE RÉCEPTION DE TÉLÉVISION (À L'EXCL. DES MONITEURS À TUBE CATHODIQUE ET CEUX DES TYPES EXCLUSIVEMENT OU PRINCIPALEMENT DESTINÉS À UNE MACHINE AUTOMATIQUE DE TRAITEMENT DE L'INFORMATION DU N° 8471)")</f>
        <v xml:space="preserve">   MONITEURS N'INCORPORANT PAS D'APPAREIL DE RÉCEPTION DE TÉLÉVISION (À L'EXCL. DES MONITEURS À TUBE CATHODIQUE ET CEUX DES TYPES EXCLUSIVEMENT OU PRINCIPALEMENT DESTINÉS À UNE MACHINE AUTOMATIQUE DE TRAITEMENT DE L'INFORMATION DU N° 8471)</v>
      </c>
      <c r="C11361">
        <v>3181823</v>
      </c>
      <c r="D11361">
        <v>38</v>
      </c>
    </row>
    <row r="11362" spans="1:4" x14ac:dyDescent="0.25">
      <c r="A11362" t="str">
        <f>T("   852869")</f>
        <v xml:space="preserve">   852869</v>
      </c>
      <c r="B11362" t="str">
        <f>T("   PROJECTEURS N'INCORPORANT PAS D'APPAREIL DE RÉCEPTION DE TÉLÉVISION (À L'EXCL. DES TYPES EXCLUSIVEMENT OU PRINCIPALEMENT DESTINÉS À UNE MACHINE AUTOMATIQUE DE TRAITEMENT DE L'INFORMATION DU N° 8471)")</f>
        <v xml:space="preserve">   PROJECTEURS N'INCORPORANT PAS D'APPAREIL DE RÉCEPTION DE TÉLÉVISION (À L'EXCL. DES TYPES EXCLUSIVEMENT OU PRINCIPALEMENT DESTINÉS À UNE MACHINE AUTOMATIQUE DE TRAITEMENT DE L'INFORMATION DU N° 8471)</v>
      </c>
      <c r="C11362">
        <v>2228937</v>
      </c>
      <c r="D11362">
        <v>43</v>
      </c>
    </row>
    <row r="11363" spans="1:4" x14ac:dyDescent="0.25">
      <c r="A11363" t="str">
        <f>T("   852910")</f>
        <v xml:space="preserve">   852910</v>
      </c>
      <c r="B11363"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1363">
        <v>10549578</v>
      </c>
      <c r="D11363">
        <v>1612</v>
      </c>
    </row>
    <row r="11364" spans="1:4" x14ac:dyDescent="0.25">
      <c r="A11364" t="str">
        <f>T("   852990")</f>
        <v xml:space="preserve">   852990</v>
      </c>
      <c r="B11364" t="s">
        <v>496</v>
      </c>
      <c r="C11364">
        <v>1700117</v>
      </c>
      <c r="D11364">
        <v>90.3</v>
      </c>
    </row>
    <row r="11365" spans="1:4" x14ac:dyDescent="0.25">
      <c r="A11365" t="str">
        <f>T("   853540")</f>
        <v xml:space="preserve">   853540</v>
      </c>
      <c r="B11365" t="str">
        <f>T("   Parafoudres, limiteurs de tension et étaleurs d'ondes, pour une tension &gt; 1.000 V")</f>
        <v xml:space="preserve">   Parafoudres, limiteurs de tension et étaleurs d'ondes, pour une tension &gt; 1.000 V</v>
      </c>
      <c r="C11365">
        <v>1588977</v>
      </c>
      <c r="D11365">
        <v>94</v>
      </c>
    </row>
    <row r="11366" spans="1:4" x14ac:dyDescent="0.25">
      <c r="A11366" t="str">
        <f>T("   853590")</f>
        <v xml:space="preserve">   853590</v>
      </c>
      <c r="B11366" t="s">
        <v>498</v>
      </c>
      <c r="C11366">
        <v>367233</v>
      </c>
      <c r="D11366">
        <v>308</v>
      </c>
    </row>
    <row r="11367" spans="1:4" x14ac:dyDescent="0.25">
      <c r="A11367" t="str">
        <f>T("   853690")</f>
        <v xml:space="preserve">   853690</v>
      </c>
      <c r="B11367" t="s">
        <v>499</v>
      </c>
      <c r="C11367">
        <v>5809523</v>
      </c>
      <c r="D11367">
        <v>195</v>
      </c>
    </row>
    <row r="11368" spans="1:4" x14ac:dyDescent="0.25">
      <c r="A11368" t="str">
        <f>T("   853710")</f>
        <v xml:space="preserve">   853710</v>
      </c>
      <c r="B1136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1368">
        <v>68267649</v>
      </c>
      <c r="D11368">
        <v>11851</v>
      </c>
    </row>
    <row r="11369" spans="1:4" x14ac:dyDescent="0.25">
      <c r="A11369" t="str">
        <f>T("   854420")</f>
        <v xml:space="preserve">   854420</v>
      </c>
      <c r="B11369" t="str">
        <f>T("   Câbles coaxiaux et autres conducteurs électriques coaxiaux, isolés")</f>
        <v xml:space="preserve">   Câbles coaxiaux et autres conducteurs électriques coaxiaux, isolés</v>
      </c>
      <c r="C11369">
        <v>7707799</v>
      </c>
      <c r="D11369">
        <v>607</v>
      </c>
    </row>
    <row r="11370" spans="1:4" x14ac:dyDescent="0.25">
      <c r="A11370" t="str">
        <f>T("   854449")</f>
        <v xml:space="preserve">   854449</v>
      </c>
      <c r="B11370" t="str">
        <f>T("   CONDUCTEURS ÉLECTRIQUES, POUR TENSION &lt;= 1.000 V, ISOLÉS, SANS PIÈCES DE CONNEXION, N.D.A.")</f>
        <v xml:space="preserve">   CONDUCTEURS ÉLECTRIQUES, POUR TENSION &lt;= 1.000 V, ISOLÉS, SANS PIÈCES DE CONNEXION, N.D.A.</v>
      </c>
      <c r="C11370">
        <v>561630</v>
      </c>
      <c r="D11370">
        <v>33</v>
      </c>
    </row>
    <row r="11371" spans="1:4" x14ac:dyDescent="0.25">
      <c r="A11371" t="str">
        <f>T("   870333")</f>
        <v xml:space="preserve">   870333</v>
      </c>
      <c r="B11371" t="s">
        <v>511</v>
      </c>
      <c r="C11371">
        <v>26979635</v>
      </c>
      <c r="D11371">
        <v>3769</v>
      </c>
    </row>
    <row r="11372" spans="1:4" x14ac:dyDescent="0.25">
      <c r="A11372" t="str">
        <f>T("   870421")</f>
        <v xml:space="preserve">   870421</v>
      </c>
      <c r="B11372" t="s">
        <v>512</v>
      </c>
      <c r="C11372">
        <v>222649652</v>
      </c>
      <c r="D11372">
        <v>35892</v>
      </c>
    </row>
    <row r="11373" spans="1:4" x14ac:dyDescent="0.25">
      <c r="A11373" t="str">
        <f>T("   870422")</f>
        <v xml:space="preserve">   870422</v>
      </c>
      <c r="B11373" t="s">
        <v>513</v>
      </c>
      <c r="C11373">
        <v>151635000</v>
      </c>
      <c r="D11373">
        <v>28246</v>
      </c>
    </row>
    <row r="11374" spans="1:4" x14ac:dyDescent="0.25">
      <c r="A11374" t="str">
        <f>T("   870880")</f>
        <v xml:space="preserve">   870880</v>
      </c>
      <c r="B11374" t="s">
        <v>520</v>
      </c>
      <c r="C11374">
        <v>9051093</v>
      </c>
      <c r="D11374">
        <v>652</v>
      </c>
    </row>
    <row r="11375" spans="1:4" x14ac:dyDescent="0.25">
      <c r="A11375" t="str">
        <f>T("   870899")</f>
        <v xml:space="preserve">   870899</v>
      </c>
      <c r="B1137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375">
        <v>25484076</v>
      </c>
      <c r="D11375">
        <v>1115.5</v>
      </c>
    </row>
    <row r="11376" spans="1:4" x14ac:dyDescent="0.25">
      <c r="A11376" t="str">
        <f>T("   900719")</f>
        <v xml:space="preserve">   900719</v>
      </c>
      <c r="B11376" t="str">
        <f>T("   Caméras cinématographiques, pour films d'une largeur &gt;= 16 mm (à l'excl. des films double-8 mm)")</f>
        <v xml:space="preserve">   Caméras cinématographiques, pour films d'une largeur &gt;= 16 mm (à l'excl. des films double-8 mm)</v>
      </c>
      <c r="C11376">
        <v>20400957</v>
      </c>
      <c r="D11376">
        <v>2000</v>
      </c>
    </row>
    <row r="11377" spans="1:4" x14ac:dyDescent="0.25">
      <c r="A11377" t="str">
        <f>T("   901580")</f>
        <v xml:space="preserve">   901580</v>
      </c>
      <c r="B11377" t="s">
        <v>526</v>
      </c>
      <c r="C11377">
        <v>49790</v>
      </c>
      <c r="D11377">
        <v>4</v>
      </c>
    </row>
    <row r="11378" spans="1:4" x14ac:dyDescent="0.25">
      <c r="A11378" t="str">
        <f>T("   901890")</f>
        <v xml:space="preserve">   901890</v>
      </c>
      <c r="B11378" t="str">
        <f>T("   Instruments et appareils pour la médecine, la chirurgie ou l'art vétérinaire, n.d.a.")</f>
        <v xml:space="preserve">   Instruments et appareils pour la médecine, la chirurgie ou l'art vétérinaire, n.d.a.</v>
      </c>
      <c r="C11378">
        <v>449235</v>
      </c>
      <c r="D11378">
        <v>60</v>
      </c>
    </row>
    <row r="11379" spans="1:4" x14ac:dyDescent="0.25">
      <c r="A11379" t="str">
        <f>T("   901910")</f>
        <v xml:space="preserve">   901910</v>
      </c>
      <c r="B11379" t="str">
        <f>T("   Appareils de mécanothérapie, appareils de massage et appareils de psychotechnie")</f>
        <v xml:space="preserve">   Appareils de mécanothérapie, appareils de massage et appareils de psychotechnie</v>
      </c>
      <c r="C11379">
        <v>155000</v>
      </c>
      <c r="D11379">
        <v>57</v>
      </c>
    </row>
    <row r="11380" spans="1:4" x14ac:dyDescent="0.25">
      <c r="A11380" t="str">
        <f>T("   903289")</f>
        <v xml:space="preserve">   903289</v>
      </c>
      <c r="B11380" t="s">
        <v>534</v>
      </c>
      <c r="C11380">
        <v>39778233</v>
      </c>
      <c r="D11380">
        <v>3200</v>
      </c>
    </row>
    <row r="11381" spans="1:4" x14ac:dyDescent="0.25">
      <c r="A11381" t="str">
        <f>T("   940350")</f>
        <v xml:space="preserve">   940350</v>
      </c>
      <c r="B11381" t="str">
        <f>T("   Meubles pour chambres à coucher, en bois (sauf sièges)")</f>
        <v xml:space="preserve">   Meubles pour chambres à coucher, en bois (sauf sièges)</v>
      </c>
      <c r="C11381">
        <v>3700000</v>
      </c>
      <c r="D11381">
        <v>3600</v>
      </c>
    </row>
    <row r="11382" spans="1:4" x14ac:dyDescent="0.25">
      <c r="A11382" t="str">
        <f>T("   940360")</f>
        <v xml:space="preserve">   940360</v>
      </c>
      <c r="B11382" t="str">
        <f>T("   Meubles en bois (autres que pour bureaux, cuisines ou chambres à coucher et autres que sièges)")</f>
        <v xml:space="preserve">   Meubles en bois (autres que pour bureaux, cuisines ou chambres à coucher et autres que sièges)</v>
      </c>
      <c r="C11382">
        <v>93146</v>
      </c>
      <c r="D11382">
        <v>5000</v>
      </c>
    </row>
    <row r="11383" spans="1:4" x14ac:dyDescent="0.25">
      <c r="A11383" t="str">
        <f>T("   940389")</f>
        <v xml:space="preserve">   940389</v>
      </c>
      <c r="B11383"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1383">
        <v>19505626</v>
      </c>
      <c r="D11383">
        <v>4000</v>
      </c>
    </row>
    <row r="11384" spans="1:4" x14ac:dyDescent="0.25">
      <c r="A11384" t="str">
        <f>T("   960321")</f>
        <v xml:space="preserve">   960321</v>
      </c>
      <c r="B11384" t="str">
        <f>T("   Brosses à dent, y.c. brosses à prothèses dentaires")</f>
        <v xml:space="preserve">   Brosses à dent, y.c. brosses à prothèses dentaires</v>
      </c>
      <c r="C11384">
        <v>79384</v>
      </c>
      <c r="D11384">
        <v>108</v>
      </c>
    </row>
    <row r="11385" spans="1:4" x14ac:dyDescent="0.25">
      <c r="A11385" t="str">
        <f>T("   961800")</f>
        <v xml:space="preserve">   961800</v>
      </c>
      <c r="B11385"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1385">
        <v>2129194</v>
      </c>
      <c r="D11385">
        <v>72</v>
      </c>
    </row>
    <row r="11386" spans="1:4" x14ac:dyDescent="0.25">
      <c r="A11386" t="str">
        <f>T("ZM")</f>
        <v>ZM</v>
      </c>
      <c r="B11386" t="str">
        <f>T("Zambie")</f>
        <v>Zambie</v>
      </c>
    </row>
    <row r="11387" spans="1:4" x14ac:dyDescent="0.25">
      <c r="A11387" t="str">
        <f>T("   ZZ_Total_Produit_SH6")</f>
        <v xml:space="preserve">   ZZ_Total_Produit_SH6</v>
      </c>
      <c r="B11387" t="str">
        <f>T("   ZZ_Total_Produit_SH6")</f>
        <v xml:space="preserve">   ZZ_Total_Produit_SH6</v>
      </c>
      <c r="C11387">
        <v>89422</v>
      </c>
      <c r="D11387">
        <v>30</v>
      </c>
    </row>
    <row r="11388" spans="1:4" x14ac:dyDescent="0.25">
      <c r="A11388" t="str">
        <f>T("   950670")</f>
        <v xml:space="preserve">   950670</v>
      </c>
      <c r="B11388" t="str">
        <f>T("   Patins à glace et patins à roulettes, y.c. les chaussures auxquelles sont fixés des patins")</f>
        <v xml:space="preserve">   Patins à glace et patins à roulettes, y.c. les chaussures auxquelles sont fixés des patins</v>
      </c>
      <c r="C11388">
        <v>89422</v>
      </c>
      <c r="D11388">
        <v>30</v>
      </c>
    </row>
    <row r="11389" spans="1:4" x14ac:dyDescent="0.25">
      <c r="A11389" t="str">
        <f>T("ZW")</f>
        <v>ZW</v>
      </c>
      <c r="B11389" t="str">
        <f>T("Zimbabwe")</f>
        <v>Zimbabwe</v>
      </c>
    </row>
    <row r="11390" spans="1:4" x14ac:dyDescent="0.25">
      <c r="A11390" t="str">
        <f>T("   ZZ_Total_Produit_SH6")</f>
        <v xml:space="preserve">   ZZ_Total_Produit_SH6</v>
      </c>
      <c r="B11390" t="str">
        <f>T("   ZZ_Total_Produit_SH6")</f>
        <v xml:space="preserve">   ZZ_Total_Produit_SH6</v>
      </c>
      <c r="C11390">
        <v>14174073</v>
      </c>
      <c r="D11390">
        <v>135065</v>
      </c>
    </row>
    <row r="11391" spans="1:4" x14ac:dyDescent="0.25">
      <c r="A11391" t="str">
        <f>T("   250700")</f>
        <v xml:space="preserve">   250700</v>
      </c>
      <c r="B11391" t="str">
        <f>T("   Kaolin et autres argiles kaoliniques, même calcinés")</f>
        <v xml:space="preserve">   Kaolin et autres argiles kaoliniques, même calcinés</v>
      </c>
      <c r="C11391">
        <v>6885707</v>
      </c>
      <c r="D11391">
        <v>80000</v>
      </c>
    </row>
    <row r="11392" spans="1:4" x14ac:dyDescent="0.25">
      <c r="A11392" t="str">
        <f>T("   283650")</f>
        <v xml:space="preserve">   283650</v>
      </c>
      <c r="B11392" t="str">
        <f>T("   Carbonate de calcium")</f>
        <v xml:space="preserve">   Carbonate de calcium</v>
      </c>
      <c r="C11392">
        <v>7270366</v>
      </c>
      <c r="D11392">
        <v>55000</v>
      </c>
    </row>
    <row r="11393" spans="1:4" x14ac:dyDescent="0.25">
      <c r="A11393" t="str">
        <f>T("   392640")</f>
        <v xml:space="preserve">   392640</v>
      </c>
      <c r="B11393" t="str">
        <f>T("   Statuettes et autres objets d'ornementation, en matières plastiques")</f>
        <v xml:space="preserve">   Statuettes et autres objets d'ornementation, en matières plastiques</v>
      </c>
      <c r="C11393">
        <v>18000</v>
      </c>
      <c r="D11393">
        <v>65</v>
      </c>
    </row>
    <row r="11394" spans="1:4" s="1" customFormat="1" x14ac:dyDescent="0.25">
      <c r="A11394" s="1" t="str">
        <f>T("   ZZ_Total_Produit_SH6")</f>
        <v xml:space="preserve">   ZZ_Total_Produit_SH6</v>
      </c>
      <c r="B11394" s="1" t="str">
        <f>T("   ZZ_Total_Produit_SH6")</f>
        <v xml:space="preserve">   ZZ_Total_Produit_SH6</v>
      </c>
      <c r="C11394" s="1">
        <v>1798620266425.8301</v>
      </c>
      <c r="D11394" s="1">
        <v>4312534428.1599998</v>
      </c>
    </row>
    <row r="11396" spans="1:4" x14ac:dyDescent="0.25">
      <c r="A11396" t="s">
        <v>541</v>
      </c>
    </row>
    <row r="11397" spans="1:4" x14ac:dyDescent="0.25">
      <c r="A11397" t="s">
        <v>542</v>
      </c>
    </row>
    <row r="11398" spans="1:4" x14ac:dyDescent="0.25">
      <c r="A11398" t="s">
        <v>543</v>
      </c>
    </row>
    <row r="11399" spans="1:4" x14ac:dyDescent="0.25">
      <c r="A11399" t="s">
        <v>544</v>
      </c>
    </row>
  </sheetData>
  <pageMargins left="0.7" right="0.7" top="0.75" bottom="0.75" header="0.3" footer="0.3"/>
</worksheet>
</file>